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13_ncr:1_{705217DB-CCB9-431A-9C5B-F404308F0530}" xr6:coauthVersionLast="47" xr6:coauthVersionMax="47" xr10:uidLastSave="{00000000-0000-0000-0000-000000000000}"/>
  <bookViews>
    <workbookView xWindow="-108" yWindow="-108" windowWidth="23256" windowHeight="12720" xr2:uid="{7A969F64-ABD4-43B9-9F27-A157C4B648F7}"/>
  </bookViews>
  <sheets>
    <sheet name="10 (Oct)" sheetId="1" r:id="rId1"/>
    <sheet name="10 (Dec) " sheetId="2" r:id="rId2"/>
  </sheets>
  <externalReferences>
    <externalReference r:id="rId3"/>
  </externalReferences>
  <definedNames>
    <definedName name="newbasicPB4">[1]Sheet1!$T$4:$T$37</definedName>
    <definedName name="oldbasicPB4">[1]Sheet1!$S$4:$S$37</definedName>
    <definedName name="_xlnm.Print_Area" localSheetId="1">'10 (Dec) '!$A$1:$I$71</definedName>
    <definedName name="_xlnm.Print_Area" localSheetId="0">'10 (Oct)'!$A$1:$I$71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78" i="2" l="1"/>
  <c r="D175" i="2"/>
  <c r="D171" i="2"/>
  <c r="D177" i="2" s="1"/>
  <c r="H134" i="2"/>
  <c r="H137" i="2" s="1"/>
  <c r="H133" i="2"/>
  <c r="E125" i="2"/>
  <c r="H119" i="2"/>
  <c r="H120" i="2" s="1"/>
  <c r="C115" i="2"/>
  <c r="E123" i="2" s="1"/>
  <c r="L111" i="2"/>
  <c r="C111" i="2"/>
  <c r="G108" i="2"/>
  <c r="H106" i="2"/>
  <c r="E106" i="2" s="1"/>
  <c r="L105" i="2"/>
  <c r="I86" i="2"/>
  <c r="I83" i="2"/>
  <c r="I80" i="2"/>
  <c r="H68" i="2"/>
  <c r="L65" i="2"/>
  <c r="M53" i="2"/>
  <c r="M52" i="2"/>
  <c r="G46" i="2"/>
  <c r="F45" i="2"/>
  <c r="F44" i="2"/>
  <c r="D44" i="2"/>
  <c r="F43" i="2"/>
  <c r="G45" i="2" s="1"/>
  <c r="D43" i="2"/>
  <c r="G39" i="2"/>
  <c r="G38" i="2"/>
  <c r="G37" i="2"/>
  <c r="G36" i="2"/>
  <c r="G35" i="2"/>
  <c r="H39" i="2" s="1"/>
  <c r="L31" i="2"/>
  <c r="F31" i="2"/>
  <c r="L30" i="2"/>
  <c r="F30" i="2" s="1"/>
  <c r="G31" i="2" s="1"/>
  <c r="F28" i="2"/>
  <c r="L27" i="2"/>
  <c r="L26" i="2"/>
  <c r="F27" i="2" s="1"/>
  <c r="G28" i="2" s="1"/>
  <c r="N23" i="2"/>
  <c r="F23" i="2"/>
  <c r="F22" i="2"/>
  <c r="G23" i="2" s="1"/>
  <c r="F20" i="2"/>
  <c r="N21" i="2" s="1"/>
  <c r="N24" i="2" s="1"/>
  <c r="N19" i="2"/>
  <c r="F19" i="2"/>
  <c r="F18" i="2"/>
  <c r="G12" i="2"/>
  <c r="M10" i="2"/>
  <c r="G8" i="2" s="1"/>
  <c r="L10" i="2"/>
  <c r="G4" i="2" s="1"/>
  <c r="G7" i="2" s="1"/>
  <c r="G9" i="2" s="1"/>
  <c r="H10" i="2" s="1"/>
  <c r="G5" i="2"/>
  <c r="I2" i="2"/>
  <c r="H121" i="2" l="1"/>
  <c r="H122" i="2" s="1"/>
  <c r="H123" i="2" s="1"/>
  <c r="H124" i="2" s="1"/>
  <c r="H50" i="2"/>
  <c r="M70" i="2"/>
  <c r="E55" i="2"/>
  <c r="F33" i="2"/>
  <c r="N29" i="2"/>
  <c r="E54" i="2"/>
  <c r="M69" i="2"/>
  <c r="M71" i="2" s="1"/>
  <c r="M72" i="2" s="1"/>
  <c r="F14" i="2"/>
  <c r="G15" i="2" s="1"/>
  <c r="H15" i="2" s="1"/>
  <c r="E119" i="2"/>
  <c r="E132" i="2" s="1"/>
  <c r="G20" i="2"/>
  <c r="B53" i="2" l="1"/>
  <c r="L57" i="2"/>
  <c r="G54" i="2"/>
  <c r="M74" i="2"/>
  <c r="M75" i="2" s="1"/>
  <c r="L56" i="2"/>
  <c r="G55" i="2"/>
  <c r="H33" i="2"/>
  <c r="H41" i="2" s="1"/>
  <c r="E51" i="2" s="1"/>
  <c r="H51" i="2" s="1"/>
  <c r="D33" i="2"/>
  <c r="H127" i="2"/>
  <c r="E53" i="2" l="1"/>
  <c r="M54" i="2" l="1"/>
  <c r="M55" i="2" s="1"/>
  <c r="G53" i="2"/>
  <c r="G56" i="2" s="1"/>
  <c r="H57" i="2" s="1"/>
  <c r="N57" i="2" l="1"/>
  <c r="H58" i="2"/>
  <c r="H59" i="2" s="1"/>
  <c r="H60" i="2" l="1"/>
  <c r="H61" i="2" s="1"/>
  <c r="H105" i="2" l="1"/>
  <c r="H107" i="2" l="1"/>
  <c r="H108" i="2" s="1"/>
  <c r="E105" i="2"/>
  <c r="E107" i="2" s="1"/>
  <c r="E108" i="2" s="1"/>
  <c r="E110" i="2" s="1"/>
  <c r="F110" i="2" s="1"/>
  <c r="G110" i="2" s="1"/>
  <c r="H110" i="2" s="1"/>
  <c r="E118" i="2"/>
  <c r="E120" i="2" l="1"/>
  <c r="E131" i="2"/>
  <c r="E137" i="2" s="1"/>
  <c r="E138" i="2" s="1"/>
  <c r="F138" i="2" s="1"/>
  <c r="E113" i="2"/>
  <c r="F113" i="2" s="1"/>
  <c r="G113" i="2" s="1"/>
  <c r="H113" i="2" s="1"/>
  <c r="E112" i="2"/>
  <c r="F112" i="2" s="1"/>
  <c r="G112" i="2" s="1"/>
  <c r="H112" i="2" s="1"/>
  <c r="E111" i="2"/>
  <c r="F111" i="2" s="1"/>
  <c r="G111" i="2" s="1"/>
  <c r="H111" i="2" s="1"/>
  <c r="H115" i="2" s="1"/>
  <c r="H103" i="2" s="1"/>
  <c r="H62" i="2" s="1"/>
  <c r="H64" i="2" s="1"/>
  <c r="H69" i="2" s="1"/>
  <c r="B69" i="2" s="1"/>
  <c r="E124" i="2" l="1"/>
  <c r="E122" i="2"/>
  <c r="F124" i="2" l="1"/>
  <c r="E127" i="2"/>
  <c r="E128" i="2"/>
  <c r="F128" i="2" s="1"/>
  <c r="K178" i="1" l="1"/>
  <c r="D175" i="1"/>
  <c r="D171" i="1"/>
  <c r="D177" i="1" s="1"/>
  <c r="H133" i="1"/>
  <c r="E125" i="1"/>
  <c r="H119" i="1"/>
  <c r="H120" i="1" s="1"/>
  <c r="H121" i="1" s="1"/>
  <c r="H122" i="1" s="1"/>
  <c r="H123" i="1" s="1"/>
  <c r="H124" i="1" s="1"/>
  <c r="E119" i="1"/>
  <c r="E132" i="1" s="1"/>
  <c r="C115" i="1"/>
  <c r="E123" i="1" s="1"/>
  <c r="L111" i="1"/>
  <c r="C111" i="1"/>
  <c r="G108" i="1"/>
  <c r="H106" i="1"/>
  <c r="E106" i="1"/>
  <c r="L105" i="1"/>
  <c r="I86" i="1"/>
  <c r="I83" i="1"/>
  <c r="I80" i="1"/>
  <c r="H68" i="1"/>
  <c r="L65" i="1"/>
  <c r="M53" i="1"/>
  <c r="M52" i="1"/>
  <c r="G46" i="1"/>
  <c r="F45" i="1"/>
  <c r="F44" i="1"/>
  <c r="D44" i="1"/>
  <c r="F43" i="1"/>
  <c r="G45" i="1" s="1"/>
  <c r="D43" i="1"/>
  <c r="G39" i="1"/>
  <c r="G38" i="1"/>
  <c r="G37" i="1"/>
  <c r="H39" i="1" s="1"/>
  <c r="G36" i="1"/>
  <c r="G35" i="1"/>
  <c r="L31" i="1"/>
  <c r="F31" i="1"/>
  <c r="L30" i="1"/>
  <c r="F30" i="1"/>
  <c r="G31" i="1" s="1"/>
  <c r="F28" i="1"/>
  <c r="L27" i="1"/>
  <c r="L26" i="1"/>
  <c r="F27" i="1" s="1"/>
  <c r="G28" i="1" s="1"/>
  <c r="F23" i="1"/>
  <c r="F22" i="1"/>
  <c r="G23" i="1" s="1"/>
  <c r="F20" i="1"/>
  <c r="N21" i="1" s="1"/>
  <c r="F19" i="1"/>
  <c r="N23" i="1" s="1"/>
  <c r="F18" i="1"/>
  <c r="G20" i="1" s="1"/>
  <c r="G12" i="1"/>
  <c r="M10" i="1"/>
  <c r="G8" i="1" s="1"/>
  <c r="L10" i="1"/>
  <c r="G4" i="1" s="1"/>
  <c r="G7" i="1" s="1"/>
  <c r="G9" i="1" s="1"/>
  <c r="H10" i="1" s="1"/>
  <c r="G5" i="1"/>
  <c r="I2" i="1"/>
  <c r="H33" i="1" l="1"/>
  <c r="D33" i="1"/>
  <c r="H50" i="1"/>
  <c r="M70" i="1"/>
  <c r="M69" i="1"/>
  <c r="M71" i="1" s="1"/>
  <c r="M72" i="1" s="1"/>
  <c r="E55" i="1"/>
  <c r="F33" i="1"/>
  <c r="N29" i="1"/>
  <c r="E54" i="1"/>
  <c r="F14" i="1"/>
  <c r="G15" i="1" s="1"/>
  <c r="H15" i="1" s="1"/>
  <c r="H127" i="1"/>
  <c r="K124" i="1" s="1"/>
  <c r="K125" i="1" s="1"/>
  <c r="K126" i="1" s="1"/>
  <c r="N19" i="1"/>
  <c r="N24" i="1" s="1"/>
  <c r="H134" i="1"/>
  <c r="H137" i="1" s="1"/>
  <c r="B53" i="1" l="1"/>
  <c r="H41" i="1"/>
  <c r="E51" i="1" s="1"/>
  <c r="H51" i="1" s="1"/>
  <c r="M74" i="1"/>
  <c r="M75" i="1" s="1"/>
  <c r="K134" i="1"/>
  <c r="K135" i="1" s="1"/>
  <c r="K136" i="1" s="1"/>
  <c r="L57" i="1"/>
  <c r="G54" i="1"/>
  <c r="L56" i="1"/>
  <c r="G55" i="1"/>
  <c r="E53" i="1" l="1"/>
  <c r="G53" i="1" l="1"/>
  <c r="G56" i="1" s="1"/>
  <c r="H57" i="1" s="1"/>
  <c r="M54" i="1"/>
  <c r="M55" i="1" s="1"/>
  <c r="H59" i="1" l="1"/>
  <c r="N57" i="1"/>
  <c r="H58" i="1"/>
  <c r="H60" i="1" l="1"/>
  <c r="H61" i="1" s="1"/>
  <c r="H105" i="1" l="1"/>
  <c r="E118" i="1" l="1"/>
  <c r="E105" i="1"/>
  <c r="E107" i="1" s="1"/>
  <c r="E108" i="1" s="1"/>
  <c r="E110" i="1" s="1"/>
  <c r="F110" i="1" s="1"/>
  <c r="G110" i="1" s="1"/>
  <c r="H110" i="1" s="1"/>
  <c r="H107" i="1"/>
  <c r="H108" i="1" s="1"/>
  <c r="E111" i="1" l="1"/>
  <c r="F111" i="1" s="1"/>
  <c r="G111" i="1" s="1"/>
  <c r="H111" i="1" s="1"/>
  <c r="H115" i="1" s="1"/>
  <c r="E113" i="1"/>
  <c r="F113" i="1" s="1"/>
  <c r="G113" i="1" s="1"/>
  <c r="H113" i="1" s="1"/>
  <c r="E112" i="1"/>
  <c r="F112" i="1" s="1"/>
  <c r="G112" i="1" s="1"/>
  <c r="H112" i="1" s="1"/>
  <c r="E120" i="1"/>
  <c r="E131" i="1"/>
  <c r="E137" i="1" s="1"/>
  <c r="E138" i="1" s="1"/>
  <c r="F138" i="1" s="1"/>
  <c r="H103" i="1" l="1"/>
  <c r="H62" i="1" s="1"/>
  <c r="H64" i="1" s="1"/>
  <c r="H69" i="1" s="1"/>
  <c r="B69" i="1" s="1"/>
  <c r="K111" i="1"/>
  <c r="E124" i="1"/>
  <c r="E122" i="1"/>
  <c r="F124" i="1" l="1"/>
  <c r="E128" i="1"/>
  <c r="F128" i="1" s="1"/>
  <c r="E127" i="1"/>
  <c r="K113" i="1"/>
  <c r="K1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8E371B50-B72A-4368-BE4F-7E97DE776855}">
      <text>
        <r>
          <rPr>
            <b/>
            <sz val="8"/>
            <color indexed="81"/>
            <rFont val="Tahoma"/>
            <family val="2"/>
          </rPr>
          <t>RATHORE:</t>
        </r>
        <r>
          <rPr>
            <sz val="8"/>
            <color indexed="81"/>
            <rFont val="Tahoma"/>
            <family val="2"/>
          </rPr>
          <t xml:space="preserve">
</t>
        </r>
      </text>
    </comment>
    <comment ref="C66" authorId="0" shapeId="0" xr:uid="{DFBAA847-8E67-43F0-883C-ED521CE4C743}">
      <text>
        <r>
          <rPr>
            <b/>
            <sz val="8"/>
            <color indexed="81"/>
            <rFont val="Tahoma"/>
            <family val="2"/>
          </rPr>
          <t>RATHORE:</t>
        </r>
        <r>
          <rPr>
            <sz val="8"/>
            <color indexed="81"/>
            <rFont val="Tahoma"/>
            <family val="2"/>
          </rPr>
          <t xml:space="preserve">
</t>
        </r>
      </text>
    </comment>
    <comment ref="B69" authorId="0" shapeId="0" xr:uid="{849BB266-72C9-443B-841C-D432F6F0A759}">
      <text>
        <r>
          <rPr>
            <b/>
            <sz val="8"/>
            <color indexed="81"/>
            <rFont val="Tahoma"/>
            <family val="2"/>
          </rPr>
          <t>RATHORE: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DF275F79-525A-4169-80CF-FEE5918044A3}">
      <text>
        <r>
          <rPr>
            <b/>
            <sz val="8"/>
            <color indexed="81"/>
            <rFont val="Tahoma"/>
            <family val="2"/>
          </rPr>
          <t>RATHORE:</t>
        </r>
        <r>
          <rPr>
            <sz val="8"/>
            <color indexed="81"/>
            <rFont val="Tahoma"/>
            <family val="2"/>
          </rPr>
          <t xml:space="preserve">
</t>
        </r>
      </text>
    </comment>
    <comment ref="C66" authorId="0" shapeId="0" xr:uid="{A5ABF545-961A-4D3B-8CAA-D751F8582589}">
      <text>
        <r>
          <rPr>
            <b/>
            <sz val="8"/>
            <color indexed="81"/>
            <rFont val="Tahoma"/>
            <family val="2"/>
          </rPr>
          <t>RATHORE:</t>
        </r>
        <r>
          <rPr>
            <sz val="8"/>
            <color indexed="81"/>
            <rFont val="Tahoma"/>
            <family val="2"/>
          </rPr>
          <t xml:space="preserve">
</t>
        </r>
      </text>
    </comment>
    <comment ref="B69" authorId="0" shapeId="0" xr:uid="{9D8DA4E8-33E3-4E2F-95EA-90E755BD0DED}">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<sst xmlns="http://schemas.openxmlformats.org/spreadsheetml/2006/main" count="711" uniqueCount="326">
  <si>
    <t>Dr. V.K. Singhania's Book</t>
  </si>
  <si>
    <t>A S S E S S M E N T   Y E A R  :  2 0 2 2 - 23</t>
  </si>
  <si>
    <t xml:space="preserve">Case-10  (Capital Gain, Gifts) </t>
  </si>
  <si>
    <t>Exempted</t>
  </si>
  <si>
    <t>Filing Date</t>
  </si>
  <si>
    <t>67th Edition:  August-2022</t>
  </si>
  <si>
    <t>Case Study-10</t>
  </si>
  <si>
    <t xml:space="preserve"> Pg 558</t>
  </si>
  <si>
    <t>Ram Naresh Rathore</t>
  </si>
  <si>
    <t xml:space="preserve">Basic Salary </t>
  </si>
  <si>
    <r>
      <t xml:space="preserve">SALARIES </t>
    </r>
    <r>
      <rPr>
        <sz val="10"/>
        <color theme="1"/>
        <rFont val="Arial"/>
        <family val="2"/>
      </rPr>
      <t>U/S 15-17</t>
    </r>
  </si>
  <si>
    <t>Amount (Rs.)</t>
  </si>
  <si>
    <t xml:space="preserve">Commission </t>
  </si>
  <si>
    <t xml:space="preserve">Due date </t>
  </si>
  <si>
    <t>Sec 17(1)</t>
  </si>
  <si>
    <t>Basic Salary and Allowances</t>
  </si>
  <si>
    <t>Transport Allowance</t>
  </si>
  <si>
    <t>Sec 17(2)</t>
  </si>
  <si>
    <t xml:space="preserve">Value of Perquisites </t>
  </si>
  <si>
    <t>Tiffin Allowance</t>
  </si>
  <si>
    <t>Calculations</t>
  </si>
  <si>
    <t>Sec 17(3)</t>
  </si>
  <si>
    <t xml:space="preserve">Profit in lieu of Salary </t>
  </si>
  <si>
    <t xml:space="preserve">Leave Salary (Earlier years) </t>
  </si>
  <si>
    <t xml:space="preserve">Gross Salary </t>
  </si>
  <si>
    <t>10(14) (i)</t>
  </si>
  <si>
    <t>Conveyance Allowance</t>
  </si>
  <si>
    <t>Late Fees</t>
  </si>
  <si>
    <t>Sec 10</t>
  </si>
  <si>
    <t>Less Exempt Allowances (10000 + 3600 + 2400) + 8000</t>
  </si>
  <si>
    <t>10(14) (ii)</t>
  </si>
  <si>
    <t>Hostel Expenditure Allowance</t>
  </si>
  <si>
    <t>Aug-Dec 22</t>
  </si>
  <si>
    <t xml:space="preserve">Net Salary </t>
  </si>
  <si>
    <t>Children Education Allowance</t>
  </si>
  <si>
    <t>Sec 16(ia)</t>
  </si>
  <si>
    <t>Less Standard  Deduction</t>
  </si>
  <si>
    <r>
      <t xml:space="preserve">HOUSE PROPERTY </t>
    </r>
    <r>
      <rPr>
        <sz val="10"/>
        <color theme="1"/>
        <rFont val="Arial"/>
        <family val="2"/>
      </rPr>
      <t>U/S 22-27</t>
    </r>
  </si>
  <si>
    <t>10(5)</t>
  </si>
  <si>
    <t xml:space="preserve">Leave Travel Concession </t>
  </si>
  <si>
    <t>Commercial</t>
  </si>
  <si>
    <r>
      <t xml:space="preserve">Rent Received  </t>
    </r>
    <r>
      <rPr>
        <sz val="9"/>
        <color rgb="FF0000FF"/>
        <rFont val="Arial"/>
        <family val="2"/>
      </rPr>
      <t xml:space="preserve">(GST Received not added) </t>
    </r>
  </si>
  <si>
    <t>Perquities-Rent Free House</t>
  </si>
  <si>
    <t>Sec 24</t>
  </si>
  <si>
    <t>LESS: Deduction</t>
  </si>
  <si>
    <r>
      <t xml:space="preserve">Rent from </t>
    </r>
    <r>
      <rPr>
        <i/>
        <sz val="10"/>
        <color rgb="FF0000FF"/>
        <rFont val="Arial"/>
        <family val="2"/>
      </rPr>
      <t xml:space="preserve">Ram Shyam Ltd </t>
    </r>
  </si>
  <si>
    <t>Std Deduction 30%</t>
  </si>
  <si>
    <t xml:space="preserve">GST Rece from Tenant @ 18% </t>
  </si>
  <si>
    <t xml:space="preserve">Intt on Housing Loan for Renewal </t>
  </si>
  <si>
    <t>Expenditure on Repair</t>
  </si>
  <si>
    <r>
      <t xml:space="preserve">CAPITAL GAINS </t>
    </r>
    <r>
      <rPr>
        <sz val="10"/>
        <color theme="1"/>
        <rFont val="Arial"/>
        <family val="2"/>
      </rPr>
      <t>U/S 45 - 55</t>
    </r>
  </si>
  <si>
    <t>LONG TERM CAPITAL GAIN</t>
  </si>
  <si>
    <t xml:space="preserve">Intt on Loan for renewal of  the Property </t>
  </si>
  <si>
    <t>Gold Sold on 02-04-21</t>
  </si>
  <si>
    <t>CII = 317</t>
  </si>
  <si>
    <t>Long Term Cap Gain</t>
  </si>
  <si>
    <t>CG-1</t>
  </si>
  <si>
    <t>Gold</t>
  </si>
  <si>
    <t>Sale proceeds  (02-04-21)</t>
  </si>
  <si>
    <t xml:space="preserve">Brokerage </t>
  </si>
  <si>
    <t>Sale Proceeds</t>
  </si>
  <si>
    <t xml:space="preserve">9(a)(ii) </t>
  </si>
  <si>
    <t>Spl 20%</t>
  </si>
  <si>
    <t xml:space="preserve">Less Brokerage </t>
  </si>
  <si>
    <t>Acq Cost 01-09-17</t>
  </si>
  <si>
    <t>CII = 272</t>
  </si>
  <si>
    <t xml:space="preserve">Less Indexed Acq Cost (01-09-17) </t>
  </si>
  <si>
    <t>400,000 * 317 / 272</t>
  </si>
  <si>
    <t xml:space="preserve">Indexed Acq Cost </t>
  </si>
  <si>
    <t>9(b)(i)</t>
  </si>
  <si>
    <r>
      <t>Diamond Sold</t>
    </r>
    <r>
      <rPr>
        <sz val="9"/>
        <color theme="1"/>
        <rFont val="Arial"/>
        <family val="2"/>
      </rPr>
      <t xml:space="preserve"> (03-05-21) FY2021-22</t>
    </r>
  </si>
  <si>
    <t>CG-2</t>
  </si>
  <si>
    <t>Diamond</t>
  </si>
  <si>
    <t>Sale Proceeds (03-05-21)</t>
  </si>
  <si>
    <r>
      <t xml:space="preserve">Acq Cost  (02-11-12)     </t>
    </r>
    <r>
      <rPr>
        <sz val="9"/>
        <color theme="1"/>
        <rFont val="Arial"/>
        <family val="2"/>
      </rPr>
      <t xml:space="preserve"> FY 2012-13</t>
    </r>
  </si>
  <si>
    <t>CII = 200</t>
  </si>
  <si>
    <t>Expenditure</t>
  </si>
  <si>
    <t>9(b)(iii)</t>
  </si>
  <si>
    <t>Less Indexed Acq</t>
  </si>
  <si>
    <t>450,000* 317 / 200</t>
  </si>
  <si>
    <t>Investment in REC Bonds 01-04-21</t>
  </si>
  <si>
    <t xml:space="preserve">Investment in REC Bonds </t>
  </si>
  <si>
    <t>Not Allowed</t>
  </si>
  <si>
    <t>9(c)</t>
  </si>
  <si>
    <t xml:space="preserve">(Spl Tax Rate @ 10%  on LTCG - Rs 100,000) u/s 112A   </t>
  </si>
  <si>
    <t>112A</t>
  </si>
  <si>
    <t>Sale 3740 Eq Shares (04-06-21)</t>
  </si>
  <si>
    <t>INE205A01025</t>
  </si>
  <si>
    <t>CG-3</t>
  </si>
  <si>
    <t>Eq Shares</t>
  </si>
  <si>
    <t>Sale proceeds  (04-06-21)</t>
  </si>
  <si>
    <t xml:space="preserve">3740 @ Rs. 500 </t>
  </si>
  <si>
    <t>Cost of Acquistion (03-12-14)</t>
  </si>
  <si>
    <t>Vedanta Ltd</t>
  </si>
  <si>
    <t>Spl 10%</t>
  </si>
  <si>
    <t xml:space="preserve">Less Deemed Acq Cost </t>
  </si>
  <si>
    <t>FMV as on 31-01-2018</t>
  </si>
  <si>
    <r>
      <rPr>
        <b/>
        <sz val="9"/>
        <color theme="2" tint="-0.749992370372631"/>
        <rFont val="Arial"/>
        <family val="2"/>
      </rPr>
      <t xml:space="preserve">Sch-112A: Col 14        </t>
    </r>
    <r>
      <rPr>
        <b/>
        <sz val="9"/>
        <color theme="5" tint="0.39997558519241921"/>
        <rFont val="Arial"/>
        <family val="2"/>
      </rPr>
      <t xml:space="preserve">  </t>
    </r>
    <r>
      <rPr>
        <b/>
        <sz val="9"/>
        <color rgb="FF0000FF"/>
        <rFont val="Arial"/>
        <family val="2"/>
      </rPr>
      <t xml:space="preserve">           Sch-Capital Gain  B</t>
    </r>
  </si>
  <si>
    <t>4(a)</t>
  </si>
  <si>
    <t>CG-4</t>
  </si>
  <si>
    <t>Sale proceeds  (14-07-21)</t>
  </si>
  <si>
    <t>3800 @ Rs. 1000</t>
  </si>
  <si>
    <t>Sale  3800 EQ Shares (14-07-21)</t>
  </si>
  <si>
    <t>INE585B01010</t>
  </si>
  <si>
    <t>Cost of Acquistion (05-05-08)</t>
  </si>
  <si>
    <t>Maruti Suzuki Ltd</t>
  </si>
  <si>
    <t>LTCG @ 20%</t>
  </si>
  <si>
    <t>LTCG @ 10%</t>
  </si>
  <si>
    <r>
      <t xml:space="preserve">OTHER SOURCES </t>
    </r>
    <r>
      <rPr>
        <sz val="10"/>
        <color theme="1"/>
        <rFont val="Arial"/>
        <family val="2"/>
      </rPr>
      <t>U/S 56-59</t>
    </r>
  </si>
  <si>
    <t xml:space="preserve">Saving Bank Interest </t>
  </si>
  <si>
    <t>Gift from Non-Relatives</t>
  </si>
  <si>
    <t>Gift (Dada's Brother) 82000;   NRI Friend 50000</t>
  </si>
  <si>
    <t xml:space="preserve">Sec 10(32) </t>
  </si>
  <si>
    <t xml:space="preserve">Gift  received by Minor son (74000 - 1500) </t>
  </si>
  <si>
    <t xml:space="preserve">Gift received  by Minor son </t>
  </si>
  <si>
    <t xml:space="preserve">Dividend (Indian) </t>
  </si>
  <si>
    <t>Dividend (Indian)</t>
  </si>
  <si>
    <t xml:space="preserve">Dividend (Foreign) </t>
  </si>
  <si>
    <t>GROSS TOTAL INCOME</t>
  </si>
  <si>
    <t xml:space="preserve">LESS: DEDUCTIONS UNDER CHAPTER VI-A </t>
  </si>
  <si>
    <t xml:space="preserve">Sec 80C </t>
  </si>
  <si>
    <t>Recognised Prov Fund</t>
  </si>
  <si>
    <t>Public Prov Fund</t>
  </si>
  <si>
    <t>LIC Prem</t>
  </si>
  <si>
    <t xml:space="preserve">Sec  80CCD(1) </t>
  </si>
  <si>
    <t xml:space="preserve">NPS </t>
  </si>
  <si>
    <r>
      <t xml:space="preserve">Sec  80CCD(1B) </t>
    </r>
    <r>
      <rPr>
        <sz val="9"/>
        <color theme="1"/>
        <rFont val="Arial"/>
        <family val="2"/>
      </rPr>
      <t>New Pension Scheme  Max 50000</t>
    </r>
  </si>
  <si>
    <t xml:space="preserve">Medical Ins Prem - Owned family </t>
  </si>
  <si>
    <t>Max 25000</t>
  </si>
  <si>
    <t>Sec 80D</t>
  </si>
  <si>
    <t>(A) Health Insurance Prem</t>
  </si>
  <si>
    <t xml:space="preserve">Medical Ins Prem - Grand Mother </t>
  </si>
  <si>
    <t>only Parents</t>
  </si>
  <si>
    <t>Sec 80E</t>
  </si>
  <si>
    <t xml:space="preserve">Intt Paid of Education Loan </t>
  </si>
  <si>
    <t>Sec 80TTA</t>
  </si>
  <si>
    <t xml:space="preserve">(Max 10000  allowed) </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</si>
  <si>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</si>
  <si>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</si>
  <si>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</si>
  <si>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</si>
  <si>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</si>
  <si>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</si>
  <si>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</si>
  <si>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</si>
  <si>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</si>
  <si>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</si>
  <si>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 xml:space="preserve">LTCG </t>
  </si>
  <si>
    <r>
      <t>SPECIAL INCOME</t>
    </r>
    <r>
      <rPr>
        <sz val="9"/>
        <color rgb="FF0000FF"/>
        <rFont val="Arial"/>
        <family val="2"/>
      </rPr>
      <t xml:space="preserve"> Exempt 1 Lakh</t>
    </r>
  </si>
  <si>
    <t xml:space="preserve">      Above   1000,000</t>
  </si>
  <si>
    <t>SPECIAL INCOME</t>
  </si>
  <si>
    <t>LTCG @ 20%  Gold +  Diamonds</t>
  </si>
  <si>
    <t>Sec 87A</t>
  </si>
  <si>
    <r>
      <t xml:space="preserve">LESS : REBATE  </t>
    </r>
    <r>
      <rPr>
        <sz val="8"/>
        <color theme="1"/>
        <rFont val="Arial Narrow"/>
        <family val="2"/>
      </rPr>
      <t>(Rs. 12500, if Total Income upto Rs. 5 Lakhs)</t>
    </r>
  </si>
  <si>
    <t>LTCG @ 10%  on Equity Shares</t>
  </si>
  <si>
    <r>
      <t xml:space="preserve">ADD : SURCHARGE  </t>
    </r>
    <r>
      <rPr>
        <sz val="8"/>
        <color theme="1"/>
        <rFont val="Arial"/>
        <family val="2"/>
      </rPr>
      <t>(10 % / 15% / 25% / 37%)</t>
    </r>
  </si>
  <si>
    <t xml:space="preserve">ADD : HEALTH &amp; EDUCATION CESS (4 % on Income Tax + Surcharge) </t>
  </si>
  <si>
    <t>Details of Assets &amp; Liabilities</t>
  </si>
  <si>
    <t xml:space="preserve">Acq Cost </t>
  </si>
  <si>
    <t>Mkt value</t>
  </si>
  <si>
    <t>Wealth Tax</t>
  </si>
  <si>
    <r>
      <t>TOTAL TAX PAYABLE</t>
    </r>
    <r>
      <rPr>
        <sz val="10"/>
        <color theme="1"/>
        <rFont val="Arial"/>
        <family val="2"/>
      </rPr>
      <t xml:space="preserve"> (including Surcharge &amp; Cesses) </t>
    </r>
  </si>
  <si>
    <t>Jewellery (1974-75)</t>
  </si>
  <si>
    <t xml:space="preserve">ADD : INTEREST U/S 234A, 234B &amp; 234C </t>
  </si>
  <si>
    <t>Interest till the Month of making Video i.e Oct-2022</t>
  </si>
  <si>
    <t xml:space="preserve">Commercial Property (Let-Out) </t>
  </si>
  <si>
    <t xml:space="preserve">ADD : Late Fees U/S 234F </t>
  </si>
  <si>
    <t>Aug-Dec 2022</t>
  </si>
  <si>
    <t>Cash in Hand</t>
  </si>
  <si>
    <t>TOTAL TAX AND INTEREST PAYABLE</t>
  </si>
  <si>
    <t>Bank Balance</t>
  </si>
  <si>
    <t xml:space="preserve">TAX PAID U/S 199 : </t>
  </si>
  <si>
    <t xml:space="preserve">Total of Assets </t>
  </si>
  <si>
    <t xml:space="preserve">Advance Tax Paid  U/S 210 </t>
  </si>
  <si>
    <t>Loan taken by Assets Mortgaging</t>
  </si>
  <si>
    <t>Loan not taken to buy Assets</t>
  </si>
  <si>
    <t xml:space="preserve">T. D. S.  U/S 192 </t>
  </si>
  <si>
    <t>Employer</t>
  </si>
  <si>
    <t>TDS to be deducted  by the Employer</t>
  </si>
  <si>
    <t>Rounding Off u/s 288B</t>
  </si>
  <si>
    <t xml:space="preserve">Salary after Std Deduction </t>
  </si>
  <si>
    <t xml:space="preserve">Tax Cals by Dr SB Rathore, Former Associate Professor of Commerce;  42 yrs Teaching Experience (Oct-77 to Dec-19) in Shyam Lal College (University of Delhi) </t>
  </si>
  <si>
    <t>Less Deds 80C, 80CCD(1), 80CCD(1B), 80D, 80E</t>
  </si>
  <si>
    <t>Website: www.taxclasses.in</t>
  </si>
  <si>
    <t xml:space="preserve">FaceBook: DrSB Rathore </t>
  </si>
  <si>
    <t>YouTube: Tax Doctor</t>
  </si>
  <si>
    <t>Deemed Acquisitions Cost of a Listed Equity Share till 31-01-18,  shall be higher of the two:</t>
  </si>
  <si>
    <t xml:space="preserve">Income Tax </t>
  </si>
  <si>
    <t xml:space="preserve">(a) The Actual Acquisition Cost </t>
  </si>
  <si>
    <t xml:space="preserve">Surcharge </t>
  </si>
  <si>
    <t xml:space="preserve">(b) Lower of  Sale Consideration or  Fair Market Value as on 31-01-18  </t>
  </si>
  <si>
    <t xml:space="preserve">HEC </t>
  </si>
  <si>
    <t xml:space="preserve">Long Term Capital Gain </t>
  </si>
  <si>
    <t xml:space="preserve">(1) Cost of Acquisition </t>
  </si>
  <si>
    <t>Acq Cost  1196800</t>
  </si>
  <si>
    <t>Sale</t>
  </si>
  <si>
    <r>
      <t>(2)</t>
    </r>
    <r>
      <rPr>
        <sz val="9"/>
        <color rgb="FF0000FF"/>
        <rFont val="Arial"/>
        <family val="2"/>
      </rPr>
      <t xml:space="preserve"> Lower </t>
    </r>
    <r>
      <rPr>
        <sz val="9"/>
        <rFont val="Arial"/>
        <family val="2"/>
      </rPr>
      <t xml:space="preserve"> of the two: Selling Price or FMV as on 31-01-18 </t>
    </r>
  </si>
  <si>
    <r>
      <t>Lower (</t>
    </r>
    <r>
      <rPr>
        <sz val="8"/>
        <color rgb="FF0000FF"/>
        <rFont val="Arial"/>
        <family val="2"/>
      </rPr>
      <t>SP 1870000</t>
    </r>
    <r>
      <rPr>
        <sz val="8"/>
        <rFont val="Arial"/>
        <family val="2"/>
      </rPr>
      <t xml:space="preserve"> or FMV</t>
    </r>
    <r>
      <rPr>
        <sz val="8"/>
        <color theme="1"/>
        <rFont val="Arial"/>
        <family val="2"/>
      </rPr>
      <t xml:space="preserve"> 1575000)</t>
    </r>
  </si>
  <si>
    <t>Acq Cost</t>
  </si>
  <si>
    <r>
      <t xml:space="preserve">(3) Deemed Acq Cost for LTCG: </t>
    </r>
    <r>
      <rPr>
        <sz val="9"/>
        <color rgb="FFFF0000"/>
        <rFont val="Arial"/>
        <family val="2"/>
      </rPr>
      <t>Higher</t>
    </r>
    <r>
      <rPr>
        <sz val="9"/>
        <rFont val="Arial"/>
        <family val="2"/>
      </rPr>
      <t xml:space="preserve"> of  (1) or (2) </t>
    </r>
  </si>
  <si>
    <t>Higher of  1196800 or 1575000</t>
  </si>
  <si>
    <t>FMV</t>
  </si>
  <si>
    <t xml:space="preserve">(4) LTCG = Selling Price - Cost as per above 3 </t>
  </si>
  <si>
    <t>LTCG= 1870000 - 1575000</t>
  </si>
  <si>
    <t>Acq Cost  216600</t>
  </si>
  <si>
    <r>
      <t>Lower (</t>
    </r>
    <r>
      <rPr>
        <sz val="8"/>
        <color rgb="FF0000FF"/>
        <rFont val="Arial"/>
        <family val="2"/>
      </rPr>
      <t>SP 3800000</t>
    </r>
    <r>
      <rPr>
        <sz val="8"/>
        <rFont val="Arial"/>
        <family val="2"/>
      </rPr>
      <t xml:space="preserve"> or FMV</t>
    </r>
    <r>
      <rPr>
        <sz val="8"/>
        <color theme="1"/>
        <rFont val="Arial"/>
        <family val="2"/>
      </rPr>
      <t xml:space="preserve"> 3310000)</t>
    </r>
  </si>
  <si>
    <t>Higher of   216600  or 3310000</t>
  </si>
  <si>
    <t>LTCG= 3800000 - 3310000</t>
  </si>
  <si>
    <t>SC 10%, Rent with GST, Gold, Diamond, Shares (GF), Gift, Div</t>
  </si>
  <si>
    <t>Part -B</t>
  </si>
  <si>
    <t>80C - 80GGC</t>
  </si>
  <si>
    <t>Part -C</t>
  </si>
  <si>
    <t>80H - 80RRB</t>
  </si>
  <si>
    <t>ITR Filed in July-2022</t>
  </si>
  <si>
    <t>Part- CA</t>
  </si>
  <si>
    <t>80TTA, 80TTB</t>
  </si>
  <si>
    <t>Basic Salary @ 2.5 Lakhs p.m.</t>
  </si>
  <si>
    <t>Part-D</t>
  </si>
  <si>
    <t>80U</t>
  </si>
  <si>
    <t>House -Let Out</t>
  </si>
  <si>
    <t>GST Received too</t>
  </si>
  <si>
    <t xml:space="preserve">Intt on Housing Loan </t>
  </si>
  <si>
    <t xml:space="preserve">Sale of Gold / Diamond  </t>
  </si>
  <si>
    <t>FMV  01-04-01</t>
  </si>
  <si>
    <t xml:space="preserve">Purchase of Bonds </t>
  </si>
  <si>
    <t>Other Sources</t>
  </si>
  <si>
    <t>S B Interest</t>
  </si>
  <si>
    <t xml:space="preserve">SBI-FDR Intt Net 18 Lakhs </t>
  </si>
  <si>
    <t xml:space="preserve">Gift In Cash (Sasura-Dost) </t>
  </si>
  <si>
    <t xml:space="preserve">Calculation  of Interest under Sections 234A, 234B &amp; 234C </t>
  </si>
  <si>
    <t>Total Interest</t>
  </si>
  <si>
    <t xml:space="preserve">Tax Rate </t>
  </si>
  <si>
    <t>Section 234C: In case of Non-Sr Citizen: If  Amount Exceeds Rs. 10000</t>
  </si>
  <si>
    <t>Surcharge</t>
  </si>
  <si>
    <t>Total Tax, Surcharge &amp; Cess</t>
  </si>
  <si>
    <t>Tax + SC + HEC</t>
  </si>
  <si>
    <t>Less TDS by the Employer, Bank</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</si>
  <si>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</si>
  <si>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</si>
  <si>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</si>
  <si>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</si>
  <si>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</si>
  <si>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</si>
  <si>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</si>
  <si>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</si>
  <si>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</si>
  <si>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</si>
  <si>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Oct</t>
  </si>
  <si>
    <t xml:space="preserve">Nov </t>
  </si>
  <si>
    <t xml:space="preserve">Dec </t>
  </si>
  <si>
    <t>Section 234B:  If  Amount Exceeds Rs. 10000 (Less than 90 %.....)</t>
  </si>
  <si>
    <t xml:space="preserve"> Tax Liability after TDS</t>
  </si>
  <si>
    <t>Advance Tax   till 31-03-2022</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</si>
  <si>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</si>
  <si>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</si>
  <si>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</si>
  <si>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</si>
  <si>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</si>
  <si>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</si>
  <si>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Section 234A:</t>
  </si>
  <si>
    <t>Less Advance tax paid by 31-03-2022</t>
  </si>
  <si>
    <t>Interest u/s 234A</t>
  </si>
  <si>
    <t>Add Interest u/s 234C till 31-03-2022</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</si>
  <si>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</si>
  <si>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</si>
  <si>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</si>
  <si>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</si>
  <si>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</si>
  <si>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</si>
  <si>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</si>
  <si>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</si>
  <si>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</si>
  <si>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</si>
  <si>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</si>
  <si>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</si>
  <si>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</si>
  <si>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</si>
  <si>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</si>
  <si>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</si>
  <si>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</si>
  <si>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</si>
  <si>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</si>
  <si>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</si>
  <si>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</si>
  <si>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</si>
  <si>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</si>
  <si>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</si>
  <si>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</si>
  <si>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</si>
  <si>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</si>
  <si>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</si>
  <si>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</si>
  <si>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</si>
  <si>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</si>
  <si>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</si>
  <si>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</si>
  <si>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</si>
  <si>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</si>
  <si>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</si>
  <si>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</si>
  <si>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</si>
  <si>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</si>
  <si>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</si>
  <si>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</si>
  <si>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</si>
  <si>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</si>
  <si>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</si>
  <si>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</si>
  <si>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</si>
  <si>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</si>
  <si>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</si>
  <si>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</si>
  <si>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</si>
  <si>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</si>
  <si>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</si>
  <si>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</si>
  <si>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</si>
  <si>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</si>
  <si>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</si>
  <si>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</si>
  <si>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</si>
  <si>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</si>
  <si>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</si>
  <si>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</si>
  <si>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</si>
  <si>
    <t>Interest till the Month of making Video i.e Dec-2022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</si>
</sst>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d\-mmm\-yy;@"/>
  </numFmts>
  <fonts count="91"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sz val="9"/>
      <color theme="1"/>
      <name val="Arial"/>
      <family val="2"/>
    </font>
    <font>
      <b/>
      <sz val="10"/>
      <color theme="1"/>
      <name val="Arial"/>
      <family val="2"/>
    </font>
    <font>
      <sz val="10"/>
      <color theme="1" tint="0.499984740745262"/>
      <name val="Arial"/>
      <family val="2"/>
    </font>
    <font>
      <i/>
      <sz val="10"/>
      <color theme="1"/>
      <name val="Arial"/>
      <family val="2"/>
    </font>
    <font>
      <b/>
      <sz val="8"/>
      <name val="Arial"/>
      <family val="2"/>
    </font>
    <font>
      <i/>
      <sz val="9"/>
      <color theme="1"/>
      <name val="Arial"/>
      <family val="2"/>
    </font>
    <font>
      <b/>
      <sz val="8"/>
      <color rgb="FF7030A0"/>
      <name val="Arial"/>
      <family val="2"/>
    </font>
    <font>
      <sz val="9"/>
      <color rgb="FF7030A0"/>
      <name val="Arial"/>
      <family val="2"/>
    </font>
    <font>
      <b/>
      <sz val="10"/>
      <color rgb="FF0000FF"/>
      <name val="Arial"/>
      <family val="2"/>
    </font>
    <font>
      <i/>
      <sz val="10"/>
      <color theme="8" tint="-0.249977111117893"/>
      <name val="Arial"/>
      <family val="2"/>
    </font>
    <font>
      <sz val="8"/>
      <color rgb="FF0000FF"/>
      <name val="Arial"/>
      <family val="2"/>
    </font>
    <font>
      <sz val="9"/>
      <name val="Arial"/>
      <family val="2"/>
    </font>
    <font>
      <i/>
      <sz val="10"/>
      <color rgb="FF0000FF"/>
      <name val="Arial"/>
      <family val="2"/>
    </font>
    <font>
      <sz val="8"/>
      <color rgb="FFC00000"/>
      <name val="Arial"/>
      <family val="2"/>
    </font>
    <font>
      <b/>
      <sz val="9"/>
      <color rgb="FF7030A0"/>
      <name val="Arial"/>
      <family val="2"/>
    </font>
    <font>
      <sz val="10"/>
      <color theme="9" tint="-0.249977111117893"/>
      <name val="Arial"/>
      <family val="2"/>
    </font>
    <font>
      <sz val="10"/>
      <color theme="0"/>
      <name val="Arial"/>
      <family val="2"/>
    </font>
    <font>
      <sz val="10"/>
      <color rgb="FFFF0000"/>
      <name val="Arial"/>
      <family val="2"/>
    </font>
    <font>
      <sz val="9"/>
      <color theme="9" tint="-0.249977111117893"/>
      <name val="Arial"/>
      <family val="2"/>
    </font>
    <font>
      <b/>
      <u/>
      <sz val="9"/>
      <color theme="1"/>
      <name val="Arial"/>
      <family val="2"/>
    </font>
    <font>
      <sz val="10"/>
      <color theme="5" tint="-0.249977111117893"/>
      <name val="Arial"/>
      <family val="2"/>
    </font>
    <font>
      <sz val="9"/>
      <color theme="5" tint="-0.249977111117893"/>
      <name val="Arial"/>
      <family val="2"/>
    </font>
    <font>
      <sz val="9"/>
      <color rgb="FFFF0000"/>
      <name val="Arial"/>
      <family val="2"/>
    </font>
    <font>
      <b/>
      <sz val="9"/>
      <color rgb="FF0000FF"/>
      <name val="Arial"/>
      <family val="2"/>
    </font>
    <font>
      <b/>
      <sz val="9"/>
      <color theme="0"/>
      <name val="Arial"/>
      <family val="2"/>
    </font>
    <font>
      <i/>
      <sz val="8"/>
      <color theme="5" tint="-0.249977111117893"/>
      <name val="Arial"/>
      <family val="2"/>
    </font>
    <font>
      <i/>
      <sz val="10"/>
      <color theme="5" tint="-0.249977111117893"/>
      <name val="Arial"/>
      <family val="2"/>
    </font>
    <font>
      <sz val="8"/>
      <color rgb="FFFF0000"/>
      <name val="Arial"/>
      <family val="2"/>
    </font>
    <font>
      <i/>
      <sz val="9"/>
      <color rgb="FF0000FF"/>
      <name val="Arial"/>
      <family val="2"/>
    </font>
    <font>
      <i/>
      <sz val="9"/>
      <name val="Arial"/>
      <family val="2"/>
    </font>
    <font>
      <b/>
      <sz val="9"/>
      <color theme="2" tint="-0.749992370372631"/>
      <name val="Arial"/>
      <family val="2"/>
    </font>
    <font>
      <b/>
      <sz val="9"/>
      <color theme="5" tint="0.39997558519241921"/>
      <name val="Arial"/>
      <family val="2"/>
    </font>
    <font>
      <sz val="8"/>
      <color theme="8" tint="-0.249977111117893"/>
      <name val="Arial"/>
      <family val="2"/>
    </font>
    <font>
      <sz val="10"/>
      <color theme="8" tint="-0.249977111117893"/>
      <name val="Arial"/>
      <family val="2"/>
    </font>
    <font>
      <b/>
      <sz val="8"/>
      <color theme="8" tint="-0.249977111117893"/>
      <name val="Arial"/>
      <family val="2"/>
    </font>
    <font>
      <b/>
      <sz val="8"/>
      <color theme="5" tint="-0.249977111117893"/>
      <name val="Arial"/>
      <family val="2"/>
    </font>
    <font>
      <i/>
      <sz val="9"/>
      <color theme="8" tint="-0.249977111117893"/>
      <name val="Arial"/>
      <family val="2"/>
    </font>
    <font>
      <i/>
      <sz val="9"/>
      <color rgb="FFC00000"/>
      <name val="Arial"/>
      <family val="2"/>
    </font>
    <font>
      <sz val="8"/>
      <color theme="1"/>
      <name val="Arial Narrow"/>
      <family val="2"/>
    </font>
    <font>
      <u/>
      <sz val="10"/>
      <color theme="1"/>
      <name val="Arial"/>
      <family val="2"/>
    </font>
    <font>
      <i/>
      <u/>
      <sz val="10"/>
      <color theme="1"/>
      <name val="Arial"/>
      <family val="2"/>
    </font>
    <font>
      <sz val="10"/>
      <color theme="3" tint="-0.249977111117893"/>
      <name val="Arial"/>
      <family val="2"/>
    </font>
    <font>
      <sz val="11"/>
      <color rgb="FF515656"/>
      <name val="Arial"/>
      <family val="2"/>
    </font>
    <font>
      <i/>
      <sz val="8"/>
      <color theme="1"/>
      <name val="Arial"/>
      <family val="2"/>
    </font>
    <font>
      <b/>
      <sz val="10"/>
      <color rgb="FFC00000"/>
      <name val="Arial Narrow"/>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8"/>
      <name val="Arial Narrow"/>
      <family val="2"/>
    </font>
    <font>
      <sz val="8"/>
      <color theme="5" tint="-0.249977111117893"/>
      <name val="Arial Narrow"/>
      <family val="2"/>
    </font>
    <font>
      <sz val="8"/>
      <color rgb="FF7030A0"/>
      <name val="Arial Narrow"/>
      <family val="2"/>
    </font>
    <font>
      <b/>
      <sz val="9"/>
      <color rgb="FFFF0000"/>
      <name val="Arial"/>
      <family val="2"/>
    </font>
    <font>
      <sz val="10"/>
      <color rgb="FFC00000"/>
      <name val="Arial"/>
      <family val="2"/>
    </font>
    <font>
      <b/>
      <sz val="10"/>
      <color rgb="FFAA1695"/>
      <name val="Arial"/>
      <family val="2"/>
    </font>
    <font>
      <i/>
      <sz val="10"/>
      <color rgb="FFAA1695"/>
      <name val="Arial"/>
      <family val="2"/>
    </font>
    <font>
      <b/>
      <sz val="10"/>
      <color indexed="12"/>
      <name val="Arial"/>
      <family val="2"/>
    </font>
    <font>
      <b/>
      <sz val="10"/>
      <name val="Arial"/>
      <family val="2"/>
    </font>
    <font>
      <b/>
      <sz val="9"/>
      <color theme="9" tint="-0.249977111117893"/>
      <name val="Arial"/>
      <family val="2"/>
    </font>
    <font>
      <sz val="10"/>
      <color indexed="12"/>
      <name val="Arial"/>
      <family val="2"/>
    </font>
    <font>
      <i/>
      <sz val="10"/>
      <name val="Arial"/>
      <family val="2"/>
    </font>
    <font>
      <sz val="10"/>
      <color rgb="FF00B050"/>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3">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5"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353">
    <xf numFmtId="0" fontId="0" fillId="0" borderId="0" xfId="0"/>
    <xf numFmtId="0" fontId="3" fillId="0" borderId="3" xfId="1" applyFont="1" applyBorder="1" applyAlignment="1">
      <alignment horizontal="center"/>
    </xf>
    <xf numFmtId="0" fontId="5" fillId="0" borderId="0" xfId="0" applyFont="1" applyAlignment="1">
      <alignment horizontal="center"/>
    </xf>
    <xf numFmtId="0" fontId="6" fillId="0" borderId="5" xfId="0" applyFont="1" applyBorder="1" applyAlignment="1">
      <alignment horizontal="center"/>
    </xf>
    <xf numFmtId="0" fontId="3" fillId="0" borderId="0" xfId="0" applyFont="1"/>
    <xf numFmtId="0" fontId="8" fillId="0" borderId="7" xfId="1" applyFont="1" applyBorder="1" applyAlignment="1">
      <alignment horizontal="center"/>
    </xf>
    <xf numFmtId="0" fontId="9" fillId="0" borderId="7" xfId="1" applyFont="1" applyBorder="1" applyAlignment="1">
      <alignment horizontal="center"/>
    </xf>
    <xf numFmtId="15" fontId="11" fillId="0" borderId="7" xfId="1" applyNumberFormat="1" applyFont="1" applyBorder="1" applyAlignment="1">
      <alignment horizontal="center"/>
    </xf>
    <xf numFmtId="1" fontId="12" fillId="2" borderId="8" xfId="0" applyNumberFormat="1" applyFont="1" applyFill="1" applyBorder="1" applyAlignment="1">
      <alignment horizontal="center" shrinkToFit="1"/>
    </xf>
    <xf numFmtId="1" fontId="5" fillId="0" borderId="0" xfId="0" applyNumberFormat="1" applyFont="1"/>
    <xf numFmtId="0" fontId="5" fillId="0" borderId="0" xfId="0" applyFont="1"/>
    <xf numFmtId="15" fontId="6" fillId="0" borderId="9" xfId="0" applyNumberFormat="1" applyFont="1" applyBorder="1" applyAlignment="1">
      <alignment horizontal="center"/>
    </xf>
    <xf numFmtId="1" fontId="9" fillId="0" borderId="4" xfId="0" applyNumberFormat="1" applyFont="1" applyBorder="1" applyAlignment="1">
      <alignment shrinkToFit="1"/>
    </xf>
    <xf numFmtId="0" fontId="13" fillId="0" borderId="0" xfId="0" applyFont="1"/>
    <xf numFmtId="0" fontId="5" fillId="0" borderId="10" xfId="0" applyFont="1" applyBorder="1"/>
    <xf numFmtId="0" fontId="14" fillId="0" borderId="0" xfId="0" applyFont="1" applyAlignment="1">
      <alignment horizontal="center"/>
    </xf>
    <xf numFmtId="0" fontId="14" fillId="0" borderId="11" xfId="0" applyFont="1" applyBorder="1" applyAlignment="1">
      <alignment horizontal="center"/>
    </xf>
    <xf numFmtId="0" fontId="11" fillId="0" borderId="9" xfId="0" applyFont="1" applyBorder="1" applyAlignment="1">
      <alignment horizontal="center"/>
    </xf>
    <xf numFmtId="0" fontId="9" fillId="0" borderId="4" xfId="0" applyFont="1" applyBorder="1" applyAlignment="1">
      <alignment shrinkToFit="1"/>
    </xf>
    <xf numFmtId="0" fontId="9" fillId="0" borderId="0" xfId="0" applyFont="1"/>
    <xf numFmtId="0" fontId="15" fillId="0" borderId="0" xfId="0" applyFont="1" applyAlignment="1">
      <alignment horizontal="left"/>
    </xf>
    <xf numFmtId="1" fontId="5" fillId="3" borderId="10" xfId="0" applyNumberFormat="1" applyFont="1" applyFill="1" applyBorder="1"/>
    <xf numFmtId="1" fontId="16" fillId="0" borderId="0" xfId="0" applyNumberFormat="1" applyFont="1"/>
    <xf numFmtId="1" fontId="16" fillId="0" borderId="11" xfId="0" applyNumberFormat="1" applyFont="1" applyBorder="1"/>
    <xf numFmtId="0" fontId="17" fillId="0" borderId="0" xfId="0" applyFont="1"/>
    <xf numFmtId="0" fontId="5" fillId="0" borderId="0" xfId="0" applyFont="1" applyAlignment="1">
      <alignment horizontal="right"/>
    </xf>
    <xf numFmtId="15" fontId="11" fillId="0" borderId="9" xfId="0" applyNumberFormat="1" applyFont="1" applyBorder="1" applyAlignment="1">
      <alignment horizontal="center"/>
    </xf>
    <xf numFmtId="0" fontId="9" fillId="0" borderId="9" xfId="0" applyFont="1" applyBorder="1" applyAlignment="1">
      <alignment horizontal="center"/>
    </xf>
    <xf numFmtId="1" fontId="5" fillId="3" borderId="12" xfId="0" applyNumberFormat="1" applyFont="1" applyFill="1" applyBorder="1"/>
    <xf numFmtId="17" fontId="15" fillId="0" borderId="13" xfId="0" applyNumberFormat="1" applyFont="1" applyBorder="1" applyAlignment="1">
      <alignment horizontal="center"/>
    </xf>
    <xf numFmtId="0" fontId="18" fillId="0" borderId="0" xfId="0" applyFont="1" applyAlignment="1">
      <alignment horizontal="right"/>
    </xf>
    <xf numFmtId="1" fontId="5" fillId="0" borderId="14" xfId="0" applyNumberFormat="1" applyFont="1" applyBorder="1"/>
    <xf numFmtId="0" fontId="9" fillId="0" borderId="0" xfId="0" applyFont="1" applyAlignment="1">
      <alignment horizontal="center"/>
    </xf>
    <xf numFmtId="0" fontId="19" fillId="4" borderId="5" xfId="0" applyFont="1" applyFill="1" applyBorder="1" applyAlignment="1">
      <alignment horizontal="center"/>
    </xf>
    <xf numFmtId="0" fontId="20" fillId="0" borderId="0" xfId="0" applyFont="1"/>
    <xf numFmtId="17" fontId="21" fillId="0" borderId="9" xfId="0" applyNumberFormat="1" applyFont="1" applyBorder="1" applyAlignment="1">
      <alignment horizontal="center"/>
    </xf>
    <xf numFmtId="1" fontId="5" fillId="0" borderId="10" xfId="0" applyNumberFormat="1" applyFont="1" applyBorder="1"/>
    <xf numFmtId="0" fontId="22" fillId="0" borderId="13" xfId="0" applyFont="1" applyBorder="1" applyAlignment="1">
      <alignment horizontal="center"/>
    </xf>
    <xf numFmtId="0" fontId="15" fillId="0" borderId="0" xfId="0" applyFont="1"/>
    <xf numFmtId="0" fontId="23" fillId="0" borderId="15" xfId="0" applyFont="1" applyBorder="1" applyAlignment="1">
      <alignment horizontal="right" vertical="center"/>
    </xf>
    <xf numFmtId="0" fontId="8" fillId="0" borderId="0" xfId="0" applyFont="1"/>
    <xf numFmtId="1" fontId="24" fillId="0" borderId="0" xfId="0" applyNumberFormat="1" applyFont="1"/>
    <xf numFmtId="0" fontId="24" fillId="0" borderId="0" xfId="0" applyFont="1"/>
    <xf numFmtId="0" fontId="25" fillId="0" borderId="0" xfId="0" applyFont="1" applyAlignment="1">
      <alignment horizontal="center"/>
    </xf>
    <xf numFmtId="0" fontId="26" fillId="0" borderId="0" xfId="0" applyFont="1" applyAlignment="1">
      <alignment horizontal="left"/>
    </xf>
    <xf numFmtId="0" fontId="5" fillId="0" borderId="0" xfId="0" applyFont="1" applyAlignment="1">
      <alignment horizontal="left"/>
    </xf>
    <xf numFmtId="0" fontId="5" fillId="5" borderId="0" xfId="0" applyFont="1" applyFill="1" applyAlignment="1">
      <alignment horizontal="right"/>
    </xf>
    <xf numFmtId="1" fontId="16" fillId="0" borderId="16" xfId="0" applyNumberFormat="1" applyFont="1" applyBorder="1"/>
    <xf numFmtId="0" fontId="18" fillId="6" borderId="0" xfId="0" applyFont="1" applyFill="1" applyAlignment="1">
      <alignment horizontal="left" indent="1"/>
    </xf>
    <xf numFmtId="0" fontId="18" fillId="6" borderId="0" xfId="0" applyFont="1" applyFill="1"/>
    <xf numFmtId="0" fontId="15" fillId="0" borderId="0" xfId="0" applyFont="1" applyAlignment="1">
      <alignment horizontal="right"/>
    </xf>
    <xf numFmtId="1" fontId="5" fillId="0" borderId="0" xfId="0" applyNumberFormat="1" applyFont="1" applyAlignment="1">
      <alignment horizontal="right"/>
    </xf>
    <xf numFmtId="9" fontId="28" fillId="0" borderId="0" xfId="0" applyNumberFormat="1" applyFont="1"/>
    <xf numFmtId="0" fontId="15" fillId="0" borderId="17" xfId="0" applyFont="1" applyBorder="1"/>
    <xf numFmtId="0" fontId="5" fillId="5" borderId="12" xfId="0" applyFont="1" applyFill="1" applyBorder="1"/>
    <xf numFmtId="0" fontId="16" fillId="0" borderId="12" xfId="0" applyFont="1" applyBorder="1"/>
    <xf numFmtId="0" fontId="29" fillId="0" borderId="0" xfId="0" applyFont="1"/>
    <xf numFmtId="0" fontId="30" fillId="0" borderId="0" xfId="0" applyFont="1"/>
    <xf numFmtId="0" fontId="15" fillId="0" borderId="0" xfId="0" applyFont="1" applyAlignment="1">
      <alignment horizontal="center"/>
    </xf>
    <xf numFmtId="0" fontId="32" fillId="0" borderId="0" xfId="0" applyFont="1"/>
    <xf numFmtId="0" fontId="15" fillId="0" borderId="1" xfId="0" applyFont="1" applyBorder="1"/>
    <xf numFmtId="0" fontId="6" fillId="0" borderId="3" xfId="0" applyFont="1" applyBorder="1" applyAlignment="1">
      <alignment horizontal="center"/>
    </xf>
    <xf numFmtId="0" fontId="18" fillId="0" borderId="0" xfId="0" applyFont="1"/>
    <xf numFmtId="0" fontId="20" fillId="0" borderId="0" xfId="0" applyFont="1" applyAlignment="1">
      <alignment horizontal="right"/>
    </xf>
    <xf numFmtId="0" fontId="33" fillId="0" borderId="4" xfId="0" applyFont="1" applyBorder="1"/>
    <xf numFmtId="0" fontId="6" fillId="0" borderId="11" xfId="0" applyFont="1" applyBorder="1" applyAlignment="1">
      <alignment horizontal="center"/>
    </xf>
    <xf numFmtId="0" fontId="34" fillId="0" borderId="0" xfId="0" applyFont="1"/>
    <xf numFmtId="0" fontId="20" fillId="0" borderId="0" xfId="0" applyFont="1" applyAlignment="1">
      <alignment horizontal="center"/>
    </xf>
    <xf numFmtId="0" fontId="35" fillId="0" borderId="17" xfId="0" applyFont="1" applyBorder="1"/>
    <xf numFmtId="0" fontId="16" fillId="0" borderId="0" xfId="0" applyFont="1" applyAlignment="1">
      <alignment horizontal="right" vertical="center"/>
    </xf>
    <xf numFmtId="0" fontId="15" fillId="0" borderId="4" xfId="0" applyFont="1" applyBorder="1"/>
    <xf numFmtId="0" fontId="8" fillId="0" borderId="0" xfId="0" applyFont="1" applyAlignment="1">
      <alignment horizontal="left" indent="2"/>
    </xf>
    <xf numFmtId="0" fontId="36" fillId="0" borderId="4" xfId="0" applyFont="1" applyBorder="1"/>
    <xf numFmtId="0" fontId="18" fillId="0" borderId="0" xfId="0" applyFont="1" applyAlignment="1">
      <alignment horizontal="left" indent="1"/>
    </xf>
    <xf numFmtId="0" fontId="37" fillId="0" borderId="4" xfId="0" applyFont="1" applyBorder="1"/>
    <xf numFmtId="0" fontId="8" fillId="0" borderId="6" xfId="0" applyFont="1" applyBorder="1" applyAlignment="1">
      <alignment horizontal="center"/>
    </xf>
    <xf numFmtId="0" fontId="38" fillId="0" borderId="8" xfId="0" applyFont="1" applyBorder="1" applyAlignment="1">
      <alignment horizontal="center"/>
    </xf>
    <xf numFmtId="0" fontId="10" fillId="0" borderId="0" xfId="0" applyFont="1"/>
    <xf numFmtId="0" fontId="5" fillId="7" borderId="0" xfId="0" applyFont="1" applyFill="1" applyAlignment="1">
      <alignment horizontal="center"/>
    </xf>
    <xf numFmtId="0" fontId="31" fillId="7" borderId="0" xfId="0" applyFont="1" applyFill="1"/>
    <xf numFmtId="0" fontId="40" fillId="0" borderId="0" xfId="0" applyFont="1" applyAlignment="1">
      <alignment horizontal="center"/>
    </xf>
    <xf numFmtId="0" fontId="35" fillId="0" borderId="0" xfId="0" applyFont="1" applyAlignment="1">
      <alignment horizontal="left"/>
    </xf>
    <xf numFmtId="0" fontId="41" fillId="0" borderId="0" xfId="0" applyFont="1"/>
    <xf numFmtId="0" fontId="5" fillId="0" borderId="0" xfId="0" applyFont="1" applyAlignment="1">
      <alignment horizontal="left" indent="1"/>
    </xf>
    <xf numFmtId="49" fontId="5" fillId="0" borderId="0" xfId="0" applyNumberFormat="1" applyFont="1"/>
    <xf numFmtId="0" fontId="42" fillId="8" borderId="4" xfId="0" applyFont="1" applyFill="1" applyBorder="1" applyAlignment="1">
      <alignment shrinkToFit="1"/>
    </xf>
    <xf numFmtId="0" fontId="6" fillId="8" borderId="0" xfId="0" applyFont="1" applyFill="1" applyAlignment="1">
      <alignment horizontal="center"/>
    </xf>
    <xf numFmtId="0" fontId="1" fillId="8" borderId="0" xfId="0" applyFont="1" applyFill="1"/>
    <xf numFmtId="0" fontId="43" fillId="8" borderId="0" xfId="0" applyFont="1" applyFill="1" applyAlignment="1">
      <alignment horizontal="center"/>
    </xf>
    <xf numFmtId="0" fontId="1" fillId="8" borderId="0" xfId="0" applyFont="1" applyFill="1" applyAlignment="1">
      <alignment horizontal="right"/>
    </xf>
    <xf numFmtId="0" fontId="41" fillId="0" borderId="0" xfId="0" applyFont="1" applyAlignment="1">
      <alignment horizontal="center"/>
    </xf>
    <xf numFmtId="0" fontId="9" fillId="8" borderId="4" xfId="0" applyFont="1" applyFill="1" applyBorder="1" applyAlignment="1">
      <alignment shrinkToFit="1"/>
    </xf>
    <xf numFmtId="9" fontId="15" fillId="8" borderId="0" xfId="0" applyNumberFormat="1" applyFont="1" applyFill="1" applyAlignment="1">
      <alignment horizontal="center"/>
    </xf>
    <xf numFmtId="0" fontId="44" fillId="8" borderId="0" xfId="0" applyFont="1" applyFill="1" applyAlignment="1">
      <alignment horizontal="left" indent="1"/>
    </xf>
    <xf numFmtId="0" fontId="1" fillId="8" borderId="17" xfId="0" applyFont="1" applyFill="1" applyBorder="1" applyAlignment="1">
      <alignment horizontal="right"/>
    </xf>
    <xf numFmtId="9" fontId="15" fillId="0" borderId="0" xfId="0" applyNumberFormat="1" applyFont="1" applyAlignment="1">
      <alignment horizontal="center"/>
    </xf>
    <xf numFmtId="0" fontId="44" fillId="0" borderId="0" xfId="0" applyFont="1" applyAlignment="1">
      <alignment horizontal="left" indent="1"/>
    </xf>
    <xf numFmtId="0" fontId="1" fillId="0" borderId="0" xfId="0" applyFont="1"/>
    <xf numFmtId="0" fontId="43" fillId="0" borderId="0" xfId="0" applyFont="1" applyAlignment="1">
      <alignment horizontal="center"/>
    </xf>
    <xf numFmtId="0" fontId="1" fillId="0" borderId="0" xfId="0" applyFont="1" applyAlignment="1">
      <alignment horizontal="right"/>
    </xf>
    <xf numFmtId="0" fontId="38" fillId="9" borderId="19" xfId="0" applyFont="1" applyFill="1" applyBorder="1" applyAlignment="1">
      <alignment horizontal="center"/>
    </xf>
    <xf numFmtId="0" fontId="10" fillId="9" borderId="20" xfId="0" applyFont="1" applyFill="1" applyBorder="1" applyAlignment="1">
      <alignment horizontal="center"/>
    </xf>
    <xf numFmtId="0" fontId="42" fillId="10" borderId="4" xfId="0" applyFont="1" applyFill="1" applyBorder="1" applyAlignment="1">
      <alignment shrinkToFit="1"/>
    </xf>
    <xf numFmtId="0" fontId="6" fillId="10" borderId="0" xfId="0" applyFont="1" applyFill="1" applyAlignment="1">
      <alignment horizontal="center"/>
    </xf>
    <xf numFmtId="0" fontId="5" fillId="10" borderId="0" xfId="0" applyFont="1" applyFill="1"/>
    <xf numFmtId="0" fontId="43" fillId="10" borderId="0" xfId="0" applyFont="1" applyFill="1" applyAlignment="1">
      <alignment horizontal="center"/>
    </xf>
    <xf numFmtId="0" fontId="47" fillId="0" borderId="0" xfId="0" applyFont="1" applyAlignment="1">
      <alignment horizontal="center"/>
    </xf>
    <xf numFmtId="0" fontId="48" fillId="0" borderId="0" xfId="0" applyFont="1" applyAlignment="1">
      <alignment horizontal="left"/>
    </xf>
    <xf numFmtId="0" fontId="48" fillId="0" borderId="0" xfId="0" applyFont="1"/>
    <xf numFmtId="0" fontId="9" fillId="10" borderId="4" xfId="0" applyFont="1" applyFill="1" applyBorder="1" applyAlignment="1">
      <alignment shrinkToFit="1"/>
    </xf>
    <xf numFmtId="0" fontId="15" fillId="10" borderId="0" xfId="0" applyFont="1" applyFill="1" applyAlignment="1">
      <alignment horizontal="center"/>
    </xf>
    <xf numFmtId="0" fontId="44" fillId="10" borderId="0" xfId="0" applyFont="1" applyFill="1" applyAlignment="1">
      <alignment horizontal="left" indent="1"/>
    </xf>
    <xf numFmtId="0" fontId="5" fillId="10" borderId="17" xfId="0" applyFont="1" applyFill="1" applyBorder="1"/>
    <xf numFmtId="0" fontId="5" fillId="10" borderId="12" xfId="0" applyFont="1" applyFill="1" applyBorder="1"/>
    <xf numFmtId="0" fontId="49" fillId="0" borderId="0" xfId="0" applyFont="1" applyAlignment="1">
      <alignment horizontal="center"/>
    </xf>
    <xf numFmtId="0" fontId="48" fillId="0" borderId="0" xfId="0" applyFont="1" applyAlignment="1">
      <alignment horizontal="center"/>
    </xf>
    <xf numFmtId="0" fontId="50" fillId="0" borderId="0" xfId="0" applyFont="1" applyAlignment="1">
      <alignment horizontal="center"/>
    </xf>
    <xf numFmtId="0" fontId="35" fillId="0" borderId="0" xfId="0" applyFont="1" applyAlignment="1">
      <alignment horizontal="center"/>
    </xf>
    <xf numFmtId="0" fontId="51" fillId="0" borderId="0" xfId="0" applyFont="1" applyAlignment="1">
      <alignment horizontal="left" indent="2"/>
    </xf>
    <xf numFmtId="0" fontId="52" fillId="0" borderId="0" xfId="0" applyFont="1" applyAlignment="1">
      <alignment horizontal="left"/>
    </xf>
    <xf numFmtId="0" fontId="53" fillId="0" borderId="0" xfId="0" applyFont="1" applyAlignment="1">
      <alignment horizontal="center"/>
    </xf>
    <xf numFmtId="0" fontId="1" fillId="0" borderId="0" xfId="0" applyFont="1" applyAlignment="1">
      <alignment horizontal="left"/>
    </xf>
    <xf numFmtId="0" fontId="10" fillId="0" borderId="0" xfId="0" applyFont="1" applyAlignment="1">
      <alignment horizontal="center"/>
    </xf>
    <xf numFmtId="14" fontId="1" fillId="0" borderId="0" xfId="0" applyNumberFormat="1" applyFont="1" applyAlignment="1">
      <alignment horizontal="center"/>
    </xf>
    <xf numFmtId="1" fontId="5" fillId="0" borderId="12" xfId="0" applyNumberFormat="1" applyFont="1" applyBorder="1"/>
    <xf numFmtId="1" fontId="16" fillId="0" borderId="21" xfId="0" applyNumberFormat="1" applyFont="1" applyBorder="1"/>
    <xf numFmtId="1" fontId="23" fillId="0" borderId="22" xfId="0" applyNumberFormat="1" applyFont="1" applyBorder="1"/>
    <xf numFmtId="1" fontId="23" fillId="0" borderId="11" xfId="0" applyNumberFormat="1" applyFont="1" applyBorder="1"/>
    <xf numFmtId="0" fontId="54" fillId="0" borderId="0" xfId="0" applyFont="1"/>
    <xf numFmtId="0" fontId="55" fillId="0" borderId="0" xfId="0" applyFont="1"/>
    <xf numFmtId="0" fontId="56" fillId="0" borderId="0" xfId="0" applyFont="1"/>
    <xf numFmtId="0" fontId="5" fillId="5" borderId="0" xfId="0" applyFont="1" applyFill="1"/>
    <xf numFmtId="0" fontId="16" fillId="0" borderId="0" xfId="0" applyFont="1"/>
    <xf numFmtId="0" fontId="57" fillId="0" borderId="0" xfId="0" applyFont="1"/>
    <xf numFmtId="0" fontId="16" fillId="0" borderId="0" xfId="0" applyFont="1" applyAlignment="1">
      <alignment vertical="center"/>
    </xf>
    <xf numFmtId="1" fontId="53" fillId="0" borderId="0" xfId="0" applyNumberFormat="1" applyFont="1" applyAlignment="1">
      <alignment horizontal="left"/>
    </xf>
    <xf numFmtId="0" fontId="53" fillId="0" borderId="0" xfId="0" applyFont="1" applyAlignment="1">
      <alignment horizontal="left"/>
    </xf>
    <xf numFmtId="0" fontId="9" fillId="0" borderId="0" xfId="0" applyFont="1" applyAlignment="1">
      <alignment horizontal="right"/>
    </xf>
    <xf numFmtId="1" fontId="16" fillId="4" borderId="23" xfId="0" applyNumberFormat="1" applyFont="1" applyFill="1" applyBorder="1"/>
    <xf numFmtId="1" fontId="16" fillId="4" borderId="24" xfId="0" applyNumberFormat="1" applyFont="1" applyFill="1" applyBorder="1"/>
    <xf numFmtId="0" fontId="8" fillId="0" borderId="0" xfId="0" applyFont="1" applyAlignment="1">
      <alignment horizontal="right"/>
    </xf>
    <xf numFmtId="0" fontId="8" fillId="0" borderId="0" xfId="0" applyFont="1" applyAlignment="1">
      <alignment horizontal="center"/>
    </xf>
    <xf numFmtId="0" fontId="15" fillId="0" borderId="16" xfId="0" applyFont="1" applyBorder="1"/>
    <xf numFmtId="0" fontId="15" fillId="0" borderId="11" xfId="0" applyFont="1" applyBorder="1"/>
    <xf numFmtId="9" fontId="5" fillId="0" borderId="0" xfId="0" applyNumberFormat="1" applyFont="1" applyAlignment="1">
      <alignment horizontal="center"/>
    </xf>
    <xf numFmtId="1" fontId="9" fillId="0" borderId="0" xfId="0" applyNumberFormat="1" applyFont="1" applyAlignment="1">
      <alignment horizontal="center" shrinkToFit="1"/>
    </xf>
    <xf numFmtId="0" fontId="58" fillId="0" borderId="0" xfId="0" applyFont="1" applyAlignment="1">
      <alignment horizontal="right"/>
    </xf>
    <xf numFmtId="0" fontId="38" fillId="0" borderId="0" xfId="0" applyFont="1" applyAlignment="1">
      <alignment horizontal="center"/>
    </xf>
    <xf numFmtId="9" fontId="58" fillId="0" borderId="0" xfId="0" applyNumberFormat="1" applyFont="1" applyAlignment="1">
      <alignment horizontal="center"/>
    </xf>
    <xf numFmtId="1" fontId="5" fillId="5" borderId="0" xfId="0" applyNumberFormat="1" applyFont="1" applyFill="1"/>
    <xf numFmtId="9" fontId="20" fillId="0" borderId="0" xfId="0" applyNumberFormat="1" applyFont="1" applyAlignment="1">
      <alignment horizontal="center"/>
    </xf>
    <xf numFmtId="0" fontId="5" fillId="0" borderId="16" xfId="0" applyFont="1" applyBorder="1"/>
    <xf numFmtId="0" fontId="5" fillId="0" borderId="11" xfId="0" applyFont="1" applyBorder="1"/>
    <xf numFmtId="0" fontId="16" fillId="11" borderId="15" xfId="0" applyFont="1" applyFill="1" applyBorder="1"/>
    <xf numFmtId="1" fontId="16" fillId="0" borderId="16" xfId="0" applyNumberFormat="1" applyFont="1" applyBorder="1" applyAlignment="1">
      <alignment horizontal="right"/>
    </xf>
    <xf numFmtId="1" fontId="16" fillId="0" borderId="11" xfId="0" applyNumberFormat="1" applyFont="1" applyBorder="1" applyAlignment="1">
      <alignment horizontal="right"/>
    </xf>
    <xf numFmtId="0" fontId="5" fillId="0" borderId="12" xfId="0" applyFont="1" applyBorder="1" applyAlignment="1">
      <alignment horizontal="right"/>
    </xf>
    <xf numFmtId="1" fontId="5" fillId="0" borderId="16" xfId="0" applyNumberFormat="1" applyFont="1" applyBorder="1" applyAlignment="1">
      <alignment horizontal="right"/>
    </xf>
    <xf numFmtId="1" fontId="5" fillId="0" borderId="11" xfId="0" applyNumberFormat="1" applyFont="1" applyBorder="1" applyAlignment="1">
      <alignment horizontal="right"/>
    </xf>
    <xf numFmtId="9" fontId="10" fillId="0" borderId="0" xfId="0" applyNumberFormat="1" applyFont="1" applyAlignment="1">
      <alignment horizontal="center"/>
    </xf>
    <xf numFmtId="1" fontId="5" fillId="0" borderId="25" xfId="0" applyNumberFormat="1" applyFont="1" applyBorder="1" applyAlignment="1">
      <alignment horizontal="right"/>
    </xf>
    <xf numFmtId="1" fontId="5" fillId="0" borderId="21" xfId="0" applyNumberFormat="1" applyFont="1" applyBorder="1" applyAlignment="1">
      <alignment horizontal="right"/>
    </xf>
    <xf numFmtId="0" fontId="5" fillId="12" borderId="0" xfId="0" applyFont="1" applyFill="1" applyAlignment="1">
      <alignment horizontal="left"/>
    </xf>
    <xf numFmtId="0" fontId="15" fillId="12" borderId="0" xfId="0" applyFont="1" applyFill="1" applyAlignment="1">
      <alignment horizontal="center"/>
    </xf>
    <xf numFmtId="0" fontId="53" fillId="0" borderId="0" xfId="0" applyFont="1"/>
    <xf numFmtId="1" fontId="15" fillId="12" borderId="0" xfId="0" applyNumberFormat="1" applyFont="1" applyFill="1" applyAlignment="1">
      <alignment horizontal="left" indent="1"/>
    </xf>
    <xf numFmtId="1" fontId="15" fillId="12" borderId="0" xfId="0" applyNumberFormat="1" applyFont="1" applyFill="1"/>
    <xf numFmtId="1" fontId="8" fillId="0" borderId="0" xfId="0" applyNumberFormat="1" applyFont="1"/>
    <xf numFmtId="0" fontId="59" fillId="0" borderId="0" xfId="0" applyFont="1" applyAlignment="1">
      <alignment horizontal="left"/>
    </xf>
    <xf numFmtId="0" fontId="25" fillId="0" borderId="0" xfId="0" applyFont="1" applyAlignment="1">
      <alignment horizontal="right"/>
    </xf>
    <xf numFmtId="1" fontId="15" fillId="0" borderId="0" xfId="0" applyNumberFormat="1" applyFont="1"/>
    <xf numFmtId="1" fontId="5" fillId="0" borderId="25" xfId="0" applyNumberFormat="1" applyFont="1" applyBorder="1"/>
    <xf numFmtId="1" fontId="5" fillId="0" borderId="21" xfId="0" applyNumberFormat="1" applyFont="1" applyBorder="1"/>
    <xf numFmtId="1" fontId="15" fillId="0" borderId="0" xfId="0" applyNumberFormat="1" applyFont="1" applyAlignment="1">
      <alignment horizontal="right" indent="1"/>
    </xf>
    <xf numFmtId="1" fontId="38" fillId="0" borderId="0" xfId="0" applyNumberFormat="1" applyFont="1"/>
    <xf numFmtId="15" fontId="6" fillId="0" borderId="0" xfId="1" applyNumberFormat="1" applyFont="1" applyAlignment="1">
      <alignment horizontal="center"/>
    </xf>
    <xf numFmtId="0" fontId="60" fillId="0" borderId="0" xfId="0" applyFont="1" applyAlignment="1">
      <alignment horizontal="left" shrinkToFit="1"/>
    </xf>
    <xf numFmtId="1" fontId="28" fillId="0" borderId="0" xfId="0" applyNumberFormat="1" applyFont="1"/>
    <xf numFmtId="1" fontId="38" fillId="0" borderId="0" xfId="0" applyNumberFormat="1" applyFont="1" applyAlignment="1">
      <alignment horizontal="left"/>
    </xf>
    <xf numFmtId="1" fontId="61" fillId="0" borderId="0" xfId="0" applyNumberFormat="1" applyFont="1" applyAlignment="1">
      <alignment horizontal="center"/>
    </xf>
    <xf numFmtId="0" fontId="62" fillId="0" borderId="0" xfId="0" applyFont="1" applyAlignment="1">
      <alignment horizontal="left" shrinkToFit="1"/>
    </xf>
    <xf numFmtId="0" fontId="23" fillId="8" borderId="0" xfId="0" applyFont="1" applyFill="1"/>
    <xf numFmtId="0" fontId="5" fillId="8" borderId="0" xfId="0" applyFont="1" applyFill="1"/>
    <xf numFmtId="1" fontId="9" fillId="0" borderId="26" xfId="0" applyNumberFormat="1" applyFont="1" applyBorder="1" applyAlignment="1">
      <alignment shrinkToFit="1"/>
    </xf>
    <xf numFmtId="0" fontId="16" fillId="0" borderId="27" xfId="0" applyFont="1" applyBorder="1"/>
    <xf numFmtId="0" fontId="5" fillId="0" borderId="27" xfId="0" applyFont="1" applyBorder="1"/>
    <xf numFmtId="0" fontId="63" fillId="0" borderId="27" xfId="0" applyFont="1" applyBorder="1"/>
    <xf numFmtId="0" fontId="53" fillId="0" borderId="27" xfId="0" applyFont="1" applyBorder="1" applyAlignment="1">
      <alignment horizontal="left"/>
    </xf>
    <xf numFmtId="0" fontId="5" fillId="0" borderId="27" xfId="0" applyFont="1" applyBorder="1" applyAlignment="1">
      <alignment horizontal="center"/>
    </xf>
    <xf numFmtId="1" fontId="16" fillId="4" borderId="28" xfId="1" applyNumberFormat="1" applyFont="1" applyFill="1" applyBorder="1"/>
    <xf numFmtId="1" fontId="16" fillId="4" borderId="29" xfId="1" applyNumberFormat="1" applyFont="1" applyFill="1" applyBorder="1"/>
    <xf numFmtId="1" fontId="5" fillId="8" borderId="0" xfId="0" applyNumberFormat="1" applyFont="1" applyFill="1"/>
    <xf numFmtId="0" fontId="15" fillId="8" borderId="0" xfId="0" applyFont="1" applyFill="1" applyAlignment="1">
      <alignment horizontal="left"/>
    </xf>
    <xf numFmtId="0" fontId="5" fillId="8" borderId="17" xfId="0" applyFont="1" applyFill="1" applyBorder="1"/>
    <xf numFmtId="0" fontId="33" fillId="0" borderId="7" xfId="0" applyFont="1" applyBorder="1"/>
    <xf numFmtId="0" fontId="66" fillId="0" borderId="7" xfId="0" applyFont="1" applyBorder="1" applyAlignment="1">
      <alignment horizontal="center"/>
    </xf>
    <xf numFmtId="0" fontId="67" fillId="0" borderId="7" xfId="0" applyFont="1" applyBorder="1" applyAlignment="1">
      <alignment horizontal="center"/>
    </xf>
    <xf numFmtId="1" fontId="16" fillId="8" borderId="0" xfId="0" applyNumberFormat="1" applyFont="1" applyFill="1"/>
    <xf numFmtId="0" fontId="65" fillId="0" borderId="0" xfId="0" applyFont="1" applyAlignment="1">
      <alignment shrinkToFit="1"/>
    </xf>
    <xf numFmtId="0" fontId="60" fillId="0" borderId="0" xfId="0" applyFont="1"/>
    <xf numFmtId="0" fontId="65" fillId="0" borderId="0" xfId="0" applyFont="1"/>
    <xf numFmtId="0" fontId="15" fillId="8" borderId="0" xfId="0" applyFont="1" applyFill="1" applyAlignment="1">
      <alignment horizontal="left" indent="11"/>
    </xf>
    <xf numFmtId="9" fontId="5" fillId="8" borderId="0" xfId="0" applyNumberFormat="1" applyFont="1" applyFill="1" applyAlignment="1">
      <alignment horizontal="center"/>
    </xf>
    <xf numFmtId="0" fontId="16" fillId="8" borderId="15" xfId="0" applyFont="1" applyFill="1" applyBorder="1"/>
    <xf numFmtId="0" fontId="26" fillId="0" borderId="0" xfId="0" applyFont="1" applyAlignment="1">
      <alignment shrinkToFit="1"/>
    </xf>
    <xf numFmtId="0" fontId="69" fillId="0" borderId="0" xfId="0" applyFont="1"/>
    <xf numFmtId="0" fontId="26" fillId="0" borderId="0" xfId="0" applyFont="1"/>
    <xf numFmtId="0" fontId="26" fillId="0" borderId="0" xfId="0" applyFont="1" applyAlignment="1">
      <alignment horizontal="center"/>
    </xf>
    <xf numFmtId="0" fontId="65" fillId="0" borderId="0" xfId="0" applyFont="1" applyAlignment="1">
      <alignment horizontal="center"/>
    </xf>
    <xf numFmtId="0" fontId="26" fillId="0" borderId="0" xfId="0" applyFont="1" applyAlignment="1">
      <alignment horizontal="left" indent="1"/>
    </xf>
    <xf numFmtId="0" fontId="65" fillId="6" borderId="0" xfId="0" applyFont="1" applyFill="1" applyAlignment="1">
      <alignment horizontal="left"/>
    </xf>
    <xf numFmtId="0" fontId="26" fillId="6" borderId="0" xfId="0" applyFont="1" applyFill="1"/>
    <xf numFmtId="0" fontId="5" fillId="6" borderId="0" xfId="0" applyFont="1" applyFill="1"/>
    <xf numFmtId="0" fontId="15" fillId="0" borderId="0" xfId="0" applyFont="1" applyAlignment="1">
      <alignment shrinkToFit="1"/>
    </xf>
    <xf numFmtId="0" fontId="15" fillId="6" borderId="0" xfId="0" applyFont="1" applyFill="1"/>
    <xf numFmtId="0" fontId="9" fillId="0" borderId="0" xfId="0" applyFont="1" applyAlignment="1">
      <alignment shrinkToFit="1"/>
    </xf>
    <xf numFmtId="0" fontId="62" fillId="0" borderId="0" xfId="0" applyFont="1"/>
    <xf numFmtId="0" fontId="1" fillId="0" borderId="0" xfId="0" applyFont="1" applyAlignment="1">
      <alignment horizontal="center"/>
    </xf>
    <xf numFmtId="0" fontId="11" fillId="0" borderId="0" xfId="0" applyFont="1" applyAlignment="1">
      <alignment horizontal="left" indent="1"/>
    </xf>
    <xf numFmtId="0" fontId="70" fillId="0" borderId="0" xfId="0" applyFont="1" applyAlignment="1">
      <alignment horizontal="left"/>
    </xf>
    <xf numFmtId="0" fontId="70" fillId="0" borderId="0" xfId="0" applyFont="1" applyAlignment="1">
      <alignment horizontal="center"/>
    </xf>
    <xf numFmtId="0" fontId="71" fillId="0" borderId="0" xfId="0" applyFont="1"/>
    <xf numFmtId="1" fontId="1" fillId="0" borderId="0" xfId="0" applyNumberFormat="1" applyFont="1"/>
    <xf numFmtId="1" fontId="26" fillId="0" borderId="0" xfId="0" applyNumberFormat="1" applyFont="1" applyAlignment="1">
      <alignment horizontal="left"/>
    </xf>
    <xf numFmtId="1" fontId="26" fillId="0" borderId="0" xfId="0" applyNumberFormat="1" applyFont="1" applyAlignment="1">
      <alignment horizontal="center"/>
    </xf>
    <xf numFmtId="0" fontId="23" fillId="0" borderId="0" xfId="0" applyFont="1"/>
    <xf numFmtId="1" fontId="10" fillId="0" borderId="0" xfId="0" applyNumberFormat="1" applyFont="1"/>
    <xf numFmtId="0" fontId="9" fillId="0" borderId="0" xfId="0" applyFont="1" applyAlignment="1">
      <alignment horizontal="left"/>
    </xf>
    <xf numFmtId="0" fontId="72" fillId="0" borderId="0" xfId="0" applyFont="1" applyAlignment="1">
      <alignment horizontal="left" indent="1"/>
    </xf>
    <xf numFmtId="0" fontId="73" fillId="9" borderId="0" xfId="1" applyFont="1" applyFill="1"/>
    <xf numFmtId="0" fontId="74" fillId="9" borderId="0" xfId="1" applyFont="1" applyFill="1"/>
    <xf numFmtId="0" fontId="12" fillId="9" borderId="0" xfId="1" applyFont="1" applyFill="1"/>
    <xf numFmtId="1" fontId="16" fillId="9" borderId="0" xfId="1" applyNumberFormat="1" applyFont="1" applyFill="1"/>
    <xf numFmtId="10" fontId="5" fillId="0" borderId="0" xfId="0" applyNumberFormat="1" applyFont="1"/>
    <xf numFmtId="164" fontId="5" fillId="0" borderId="0" xfId="0" applyNumberFormat="1" applyFont="1" applyAlignment="1">
      <alignment horizontal="center"/>
    </xf>
    <xf numFmtId="0" fontId="75" fillId="0" borderId="0" xfId="1" applyFont="1"/>
    <xf numFmtId="0" fontId="1" fillId="0" borderId="0" xfId="1"/>
    <xf numFmtId="0" fontId="6" fillId="0" borderId="0" xfId="1" applyFont="1"/>
    <xf numFmtId="2" fontId="76" fillId="0" borderId="0" xfId="1" applyNumberFormat="1" applyFont="1"/>
    <xf numFmtId="0" fontId="26" fillId="0" borderId="0" xfId="1" applyFont="1"/>
    <xf numFmtId="1" fontId="1" fillId="0" borderId="0" xfId="1" applyNumberFormat="1"/>
    <xf numFmtId="1" fontId="5" fillId="0" borderId="15" xfId="0" applyNumberFormat="1" applyFont="1" applyBorder="1"/>
    <xf numFmtId="1" fontId="10" fillId="0" borderId="0" xfId="1" applyNumberFormat="1" applyFont="1"/>
    <xf numFmtId="0" fontId="26" fillId="0" borderId="0" xfId="1" applyFont="1" applyAlignment="1">
      <alignment horizontal="center" vertical="center"/>
    </xf>
    <xf numFmtId="0" fontId="1" fillId="0" borderId="0" xfId="1" applyAlignment="1">
      <alignment horizontal="center" vertical="center"/>
    </xf>
    <xf numFmtId="1" fontId="65" fillId="0" borderId="0" xfId="1" applyNumberFormat="1" applyFont="1" applyAlignment="1">
      <alignment horizontal="center" vertical="center" wrapText="1"/>
    </xf>
    <xf numFmtId="1" fontId="1" fillId="0" borderId="0" xfId="1" applyNumberFormat="1" applyAlignment="1">
      <alignment horizontal="center" vertical="center"/>
    </xf>
    <xf numFmtId="0" fontId="9" fillId="0" borderId="0" xfId="0" applyFont="1" applyAlignment="1">
      <alignment horizontal="center" shrinkToFit="1"/>
    </xf>
    <xf numFmtId="165" fontId="1" fillId="0" borderId="0" xfId="1" applyNumberFormat="1" applyAlignment="1">
      <alignment horizontal="center"/>
    </xf>
    <xf numFmtId="1" fontId="1" fillId="10" borderId="0" xfId="1" applyNumberFormat="1" applyFill="1"/>
    <xf numFmtId="1" fontId="1" fillId="0" borderId="0" xfId="1" applyNumberFormat="1" applyAlignment="1">
      <alignment horizontal="center"/>
    </xf>
    <xf numFmtId="0" fontId="32" fillId="0" borderId="0" xfId="0" applyFont="1" applyAlignment="1">
      <alignment horizontal="center"/>
    </xf>
    <xf numFmtId="1" fontId="32" fillId="0" borderId="0" xfId="0" applyNumberFormat="1" applyFont="1" applyAlignment="1">
      <alignment horizontal="center"/>
    </xf>
    <xf numFmtId="2" fontId="1" fillId="0" borderId="0" xfId="1" applyNumberFormat="1"/>
    <xf numFmtId="2" fontId="1" fillId="0" borderId="0" xfId="1" applyNumberFormat="1" applyAlignment="1">
      <alignment horizontal="center"/>
    </xf>
    <xf numFmtId="1" fontId="74" fillId="0" borderId="15" xfId="1" applyNumberFormat="1" applyFont="1" applyBorder="1"/>
    <xf numFmtId="1" fontId="74" fillId="4" borderId="15" xfId="1" applyNumberFormat="1" applyFont="1" applyFill="1" applyBorder="1" applyAlignment="1">
      <alignment horizontal="center"/>
    </xf>
    <xf numFmtId="0" fontId="9" fillId="0" borderId="7" xfId="0" applyFont="1" applyBorder="1" applyAlignment="1">
      <alignment shrinkToFit="1"/>
    </xf>
    <xf numFmtId="0" fontId="1" fillId="0" borderId="7" xfId="1" applyBorder="1"/>
    <xf numFmtId="1" fontId="74" fillId="0" borderId="7" xfId="1" applyNumberFormat="1" applyFont="1" applyBorder="1"/>
    <xf numFmtId="2" fontId="74" fillId="0" borderId="0" xfId="1" applyNumberFormat="1" applyFont="1"/>
    <xf numFmtId="0" fontId="1" fillId="0" borderId="0" xfId="1" applyAlignment="1">
      <alignment horizontal="center"/>
    </xf>
    <xf numFmtId="17" fontId="1" fillId="0" borderId="0" xfId="1" applyNumberFormat="1" applyAlignment="1">
      <alignment horizontal="center"/>
    </xf>
    <xf numFmtId="0" fontId="26" fillId="0" borderId="0" xfId="1" applyFont="1" applyAlignment="1">
      <alignment horizontal="left" indent="1"/>
    </xf>
    <xf numFmtId="1" fontId="1" fillId="0" borderId="15" xfId="1" applyNumberFormat="1" applyBorder="1"/>
    <xf numFmtId="9" fontId="6" fillId="0" borderId="0" xfId="1" applyNumberFormat="1" applyFont="1" applyAlignment="1">
      <alignment horizontal="center"/>
    </xf>
    <xf numFmtId="0" fontId="77" fillId="0" borderId="0" xfId="1" applyFont="1" applyAlignment="1">
      <alignment horizontal="left"/>
    </xf>
    <xf numFmtId="1" fontId="10" fillId="0" borderId="0" xfId="0" applyNumberFormat="1" applyFont="1" applyAlignment="1">
      <alignment horizontal="center"/>
    </xf>
    <xf numFmtId="1" fontId="77" fillId="0" borderId="0" xfId="1" applyNumberFormat="1" applyFont="1" applyAlignment="1">
      <alignment horizontal="left"/>
    </xf>
    <xf numFmtId="2" fontId="74" fillId="0" borderId="0" xfId="1" applyNumberFormat="1" applyFont="1" applyAlignment="1">
      <alignment horizontal="center"/>
    </xf>
    <xf numFmtId="1" fontId="77" fillId="0" borderId="0" xfId="1" applyNumberFormat="1" applyFont="1" applyAlignment="1">
      <alignment horizontal="right"/>
    </xf>
    <xf numFmtId="1" fontId="1" fillId="0" borderId="0" xfId="1" applyNumberFormat="1" applyAlignment="1">
      <alignment horizontal="right"/>
    </xf>
    <xf numFmtId="0" fontId="5" fillId="0" borderId="7" xfId="0" applyFont="1" applyBorder="1"/>
    <xf numFmtId="0" fontId="26" fillId="0" borderId="7" xfId="1" applyFont="1" applyBorder="1"/>
    <xf numFmtId="1" fontId="1" fillId="0" borderId="7" xfId="1" applyNumberFormat="1" applyBorder="1" applyAlignment="1">
      <alignment horizontal="right"/>
    </xf>
    <xf numFmtId="1" fontId="1" fillId="0" borderId="7" xfId="1" applyNumberFormat="1" applyBorder="1"/>
    <xf numFmtId="2" fontId="74" fillId="0" borderId="7" xfId="1" applyNumberFormat="1" applyFont="1" applyBorder="1" applyAlignment="1">
      <alignment horizontal="center"/>
    </xf>
    <xf numFmtId="14" fontId="1" fillId="0" borderId="0" xfId="1" applyNumberFormat="1" applyAlignment="1">
      <alignment horizontal="center"/>
    </xf>
    <xf numFmtId="0" fontId="78" fillId="0" borderId="0" xfId="0" applyFont="1" applyAlignment="1">
      <alignment horizontal="center"/>
    </xf>
    <xf numFmtId="0" fontId="78" fillId="0" borderId="0" xfId="0" applyFont="1"/>
    <xf numFmtId="1" fontId="78" fillId="0" borderId="0" xfId="0" applyNumberFormat="1" applyFont="1" applyAlignment="1">
      <alignment horizontal="center"/>
    </xf>
    <xf numFmtId="17" fontId="1" fillId="0" borderId="0" xfId="1" applyNumberFormat="1"/>
    <xf numFmtId="0" fontId="71" fillId="0" borderId="1" xfId="1" applyFont="1" applyBorder="1"/>
    <xf numFmtId="0" fontId="15" fillId="0" borderId="2" xfId="0" applyFont="1" applyBorder="1"/>
    <xf numFmtId="0" fontId="80" fillId="0" borderId="0" xfId="0" applyFont="1"/>
    <xf numFmtId="0" fontId="10" fillId="0" borderId="4" xfId="1" applyFont="1" applyBorder="1"/>
    <xf numFmtId="0" fontId="23" fillId="0" borderId="0" xfId="1" applyFont="1"/>
    <xf numFmtId="0" fontId="81" fillId="0" borderId="4" xfId="0" applyFont="1" applyBorder="1" applyAlignment="1">
      <alignment horizontal="center" vertical="center"/>
    </xf>
    <xf numFmtId="0" fontId="83" fillId="0" borderId="0" xfId="0" applyFont="1" applyAlignment="1">
      <alignment horizontal="left" vertical="top" wrapText="1"/>
    </xf>
    <xf numFmtId="0" fontId="18" fillId="0" borderId="0" xfId="1" applyFont="1" applyAlignment="1">
      <alignment horizontal="left" vertical="center"/>
    </xf>
    <xf numFmtId="0" fontId="15" fillId="0" borderId="4" xfId="0" applyFont="1" applyBorder="1" applyAlignment="1">
      <alignment shrinkToFit="1"/>
    </xf>
    <xf numFmtId="0" fontId="15" fillId="0" borderId="6" xfId="0" applyFont="1" applyBorder="1" applyAlignment="1">
      <alignment shrinkToFit="1"/>
    </xf>
    <xf numFmtId="0" fontId="15" fillId="0" borderId="8" xfId="0" applyFont="1" applyBorder="1"/>
    <xf numFmtId="0" fontId="83" fillId="0" borderId="2" xfId="0" applyFont="1" applyBorder="1" applyAlignment="1">
      <alignment horizontal="left" vertical="top" wrapText="1"/>
    </xf>
    <xf numFmtId="0" fontId="5" fillId="0" borderId="0" xfId="1" applyFont="1"/>
    <xf numFmtId="0" fontId="87" fillId="0" borderId="0" xfId="1" applyFont="1"/>
    <xf numFmtId="0" fontId="5" fillId="0" borderId="0" xfId="1" applyFont="1" applyAlignment="1">
      <alignment horizontal="right"/>
    </xf>
    <xf numFmtId="0" fontId="15" fillId="0" borderId="0" xfId="1" applyFont="1"/>
    <xf numFmtId="0" fontId="9" fillId="0" borderId="0" xfId="1" applyFont="1"/>
    <xf numFmtId="0" fontId="9" fillId="0" borderId="6" xfId="0" applyFont="1" applyBorder="1" applyAlignment="1">
      <alignment shrinkToFit="1"/>
    </xf>
    <xf numFmtId="0" fontId="15" fillId="0" borderId="7" xfId="1" applyFont="1" applyBorder="1"/>
    <xf numFmtId="0" fontId="5" fillId="0" borderId="8" xfId="0" applyFont="1" applyBorder="1"/>
    <xf numFmtId="0" fontId="79" fillId="0" borderId="1" xfId="1" applyFont="1" applyBorder="1"/>
    <xf numFmtId="0" fontId="26" fillId="0" borderId="2" xfId="1" applyFont="1" applyBorder="1" applyAlignment="1">
      <alignment horizontal="center"/>
    </xf>
    <xf numFmtId="0" fontId="1" fillId="0" borderId="2" xfId="1" applyBorder="1" applyAlignment="1">
      <alignment horizontal="center"/>
    </xf>
    <xf numFmtId="0" fontId="38" fillId="0" borderId="2" xfId="1" applyFont="1" applyBorder="1"/>
    <xf numFmtId="0" fontId="5" fillId="0" borderId="2" xfId="0" applyFont="1" applyBorder="1"/>
    <xf numFmtId="0" fontId="5" fillId="0" borderId="3" xfId="0" applyFont="1" applyBorder="1"/>
    <xf numFmtId="0" fontId="5" fillId="0" borderId="4" xfId="1" applyFont="1" applyBorder="1" applyAlignment="1">
      <alignment horizontal="left" indent="1"/>
    </xf>
    <xf numFmtId="0" fontId="5" fillId="0" borderId="0" xfId="1" applyFont="1" applyAlignment="1">
      <alignment horizontal="left" indent="1"/>
    </xf>
    <xf numFmtId="0" fontId="1" fillId="0" borderId="0" xfId="1" applyAlignment="1">
      <alignment horizontal="right"/>
    </xf>
    <xf numFmtId="0" fontId="79" fillId="0" borderId="4" xfId="1" applyFont="1" applyBorder="1"/>
    <xf numFmtId="0" fontId="8" fillId="0" borderId="0" xfId="1" applyFont="1" applyAlignment="1">
      <alignment horizontal="left"/>
    </xf>
    <xf numFmtId="0" fontId="1" fillId="0" borderId="0" xfId="1" applyAlignment="1">
      <alignment horizontal="left" indent="1"/>
    </xf>
    <xf numFmtId="0" fontId="79" fillId="0" borderId="6" xfId="1" applyFont="1" applyBorder="1"/>
    <xf numFmtId="0" fontId="88" fillId="0" borderId="7" xfId="1" applyFont="1" applyBorder="1"/>
    <xf numFmtId="0" fontId="1" fillId="0" borderId="7" xfId="1" applyBorder="1" applyAlignment="1">
      <alignment horizontal="right"/>
    </xf>
    <xf numFmtId="0" fontId="16" fillId="0" borderId="0" xfId="1" applyFont="1"/>
    <xf numFmtId="0" fontId="83" fillId="0" borderId="0" xfId="0" applyFont="1" applyAlignment="1">
      <alignment horizontal="left" vertical="top" wrapText="1"/>
    </xf>
    <xf numFmtId="0" fontId="83" fillId="0" borderId="11" xfId="0" applyFont="1" applyBorder="1" applyAlignment="1">
      <alignment horizontal="left" vertical="top" wrapText="1"/>
    </xf>
    <xf numFmtId="0" fontId="84" fillId="0" borderId="0" xfId="0" applyFont="1" applyAlignment="1">
      <alignment horizontal="left" vertical="top" wrapText="1"/>
    </xf>
    <xf numFmtId="0" fontId="84" fillId="0" borderId="11" xfId="0" applyFont="1" applyBorder="1" applyAlignment="1">
      <alignment horizontal="left" vertical="top" wrapText="1"/>
    </xf>
    <xf numFmtId="0" fontId="83" fillId="0" borderId="7" xfId="0" applyFont="1" applyBorder="1" applyAlignment="1">
      <alignment horizontal="left" vertical="top" wrapText="1"/>
    </xf>
    <xf numFmtId="0" fontId="86" fillId="0" borderId="2" xfId="0" applyFont="1" applyBorder="1" applyAlignment="1">
      <alignment horizontal="center"/>
    </xf>
    <xf numFmtId="0" fontId="86" fillId="0" borderId="3" xfId="0" applyFont="1" applyBorder="1" applyAlignment="1">
      <alignment horizontal="center"/>
    </xf>
    <xf numFmtId="2" fontId="10" fillId="0" borderId="0" xfId="1" applyNumberFormat="1" applyFont="1" applyAlignment="1">
      <alignment horizontal="center"/>
    </xf>
    <xf numFmtId="2" fontId="78" fillId="0" borderId="0" xfId="1" applyNumberFormat="1" applyFont="1" applyAlignment="1">
      <alignment horizontal="center"/>
    </xf>
    <xf numFmtId="0" fontId="79" fillId="0" borderId="2" xfId="0" applyFont="1" applyBorder="1" applyAlignment="1">
      <alignment horizontal="center"/>
    </xf>
    <xf numFmtId="0" fontId="79" fillId="0" borderId="3" xfId="0" applyFont="1" applyBorder="1" applyAlignment="1">
      <alignment horizontal="center"/>
    </xf>
    <xf numFmtId="0" fontId="19" fillId="0" borderId="0" xfId="0" applyFont="1" applyAlignment="1">
      <alignment horizontal="center"/>
    </xf>
    <xf numFmtId="0" fontId="65" fillId="0" borderId="0" xfId="0" applyFont="1" applyAlignment="1">
      <alignment horizontal="center"/>
    </xf>
    <xf numFmtId="2" fontId="32" fillId="0" borderId="0" xfId="1" applyNumberFormat="1" applyFont="1" applyAlignment="1">
      <alignment horizontal="center"/>
    </xf>
    <xf numFmtId="0" fontId="64" fillId="0" borderId="1" xfId="0" applyFont="1" applyBorder="1" applyAlignment="1">
      <alignment horizontal="center"/>
    </xf>
    <xf numFmtId="0" fontId="64" fillId="0" borderId="2" xfId="0" applyFont="1" applyBorder="1" applyAlignment="1">
      <alignment horizontal="center"/>
    </xf>
    <xf numFmtId="0" fontId="64" fillId="0" borderId="3" xfId="0" applyFont="1" applyBorder="1" applyAlignment="1">
      <alignment horizontal="center"/>
    </xf>
    <xf numFmtId="14" fontId="65" fillId="0" borderId="6" xfId="0" applyNumberFormat="1" applyFont="1" applyBorder="1" applyAlignment="1">
      <alignment horizontal="center" shrinkToFit="1"/>
    </xf>
    <xf numFmtId="0" fontId="65" fillId="0" borderId="7" xfId="0" applyFont="1" applyBorder="1" applyAlignment="1">
      <alignment horizontal="center" shrinkToFit="1"/>
    </xf>
    <xf numFmtId="0" fontId="68" fillId="0" borderId="7" xfId="0" applyFont="1" applyBorder="1" applyAlignment="1">
      <alignment horizontal="center"/>
    </xf>
    <xf numFmtId="0" fontId="68" fillId="0" borderId="8" xfId="0" applyFont="1" applyBorder="1" applyAlignment="1">
      <alignment horizontal="center"/>
    </xf>
    <xf numFmtId="0" fontId="31" fillId="7" borderId="0" xfId="0" applyFont="1" applyFill="1" applyAlignment="1">
      <alignment horizontal="center"/>
    </xf>
    <xf numFmtId="0" fontId="39" fillId="7" borderId="0" xfId="0" applyFont="1" applyFill="1" applyAlignment="1">
      <alignment horizontal="left"/>
    </xf>
    <xf numFmtId="49" fontId="38" fillId="9" borderId="18" xfId="0" applyNumberFormat="1" applyFont="1" applyFill="1" applyBorder="1" applyAlignment="1">
      <alignment horizontal="right"/>
    </xf>
    <xf numFmtId="49" fontId="38" fillId="9" borderId="19" xfId="0" applyNumberFormat="1" applyFont="1" applyFill="1" applyBorder="1" applyAlignment="1">
      <alignment horizontal="right"/>
    </xf>
    <xf numFmtId="0" fontId="60" fillId="0" borderId="0" xfId="0" applyFont="1" applyAlignment="1">
      <alignment horizontal="left"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7" fillId="0" borderId="6" xfId="1" applyFont="1" applyBorder="1" applyAlignment="1">
      <alignment horizontal="center" shrinkToFit="1"/>
    </xf>
    <xf numFmtId="0" fontId="7" fillId="0" borderId="7" xfId="1" applyFont="1" applyBorder="1" applyAlignment="1">
      <alignment horizontal="center" shrinkToFit="1"/>
    </xf>
    <xf numFmtId="0" fontId="10" fillId="0" borderId="7" xfId="0" applyFont="1" applyBorder="1" applyAlignment="1">
      <alignment horizontal="center"/>
    </xf>
    <xf numFmtId="0" fontId="31" fillId="7" borderId="7" xfId="0" applyFont="1" applyFill="1" applyBorder="1" applyAlignment="1">
      <alignment horizontal="center"/>
    </xf>
  </cellXfs>
  <cellStyles count="2">
    <cellStyle name="Normal" xfId="0" builtinId="0"/>
    <cellStyle name="Normal 2 2" xfId="1" xr:uid="{BA3D4997-E7EB-42C5-A947-D496E594A186}"/>
  </cellStyles>
  <dxfs count="2">
    <dxf>
      <font>
        <condense val="0"/>
        <extend val="0"/>
        <color indexed="12"/>
      </font>
      <fill>
        <patternFill>
          <bgColor indexed="9"/>
        </patternFill>
      </fill>
    </dxf>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10850-0E6D-4154-83E5-7498AA11D89B}">
  <sheetPr>
    <pageSetUpPr fitToPage="1"/>
  </sheetPr>
  <dimension ref="A1:O181"/>
  <sheetViews>
    <sheetView showZeros="0" tabSelected="1" topLeftCell="A117" zoomScale="120" workbookViewId="0">
      <selection activeCell="K138" sqref="K138"/>
    </sheetView>
  </sheetViews>
  <sheetFormatPr defaultColWidth="9.109375" defaultRowHeight="15" customHeight="1" x14ac:dyDescent="0.25"/>
  <cols>
    <col min="1" max="1" width="4" style="215" customWidth="1"/>
    <col min="2" max="2" width="9.6640625" style="10" customWidth="1"/>
    <col min="3" max="3" width="10.6640625" style="10" customWidth="1"/>
    <col min="4" max="4" width="15.44140625" style="10" customWidth="1"/>
    <col min="5" max="5" width="15.88671875" style="10" customWidth="1"/>
    <col min="6" max="6" width="10.44140625" style="10" customWidth="1"/>
    <col min="7" max="7" width="10.6640625" style="10" customWidth="1"/>
    <col min="8" max="8" width="12.6640625" style="10" customWidth="1"/>
    <col min="9" max="9" width="3.44140625" style="10" customWidth="1"/>
    <col min="10" max="10" width="6.88671875" style="10" customWidth="1"/>
    <col min="11" max="11" width="29.88671875" style="10" customWidth="1"/>
    <col min="12" max="12" width="9.6640625" style="10" customWidth="1"/>
    <col min="13" max="13" width="11" style="10" customWidth="1"/>
    <col min="14" max="14" width="14.44140625" style="10" customWidth="1"/>
    <col min="15" max="15" width="6" style="10" customWidth="1"/>
    <col min="16" max="16384" width="9.109375" style="10"/>
  </cols>
  <sheetData>
    <row r="1" spans="1:15" s="4" customFormat="1" ht="14.25" customHeight="1" x14ac:dyDescent="0.3">
      <c r="A1" s="344" t="s">
        <v>0</v>
      </c>
      <c r="B1" s="345"/>
      <c r="C1" s="345"/>
      <c r="D1" s="346" t="s">
        <v>1</v>
      </c>
      <c r="E1" s="346"/>
      <c r="F1" s="346"/>
      <c r="G1" s="346"/>
      <c r="H1" s="346"/>
      <c r="I1" s="1"/>
      <c r="J1" s="347" t="s">
        <v>2</v>
      </c>
      <c r="K1" s="348"/>
      <c r="L1" s="348"/>
      <c r="M1" s="2" t="s">
        <v>3</v>
      </c>
      <c r="N1" s="3" t="s">
        <v>4</v>
      </c>
    </row>
    <row r="2" spans="1:15" ht="15" customHeight="1" thickBot="1" x14ac:dyDescent="0.3">
      <c r="A2" s="349" t="s">
        <v>5</v>
      </c>
      <c r="B2" s="350"/>
      <c r="C2" s="350"/>
      <c r="D2" s="5" t="s">
        <v>6</v>
      </c>
      <c r="E2" s="6" t="s">
        <v>7</v>
      </c>
      <c r="F2" s="351" t="s">
        <v>8</v>
      </c>
      <c r="G2" s="351"/>
      <c r="H2" s="7">
        <v>26538</v>
      </c>
      <c r="I2" s="8">
        <f>IF(H2&lt;21642,"Sr",0)</f>
        <v>0</v>
      </c>
      <c r="J2" s="2"/>
      <c r="K2" s="9" t="s">
        <v>9</v>
      </c>
      <c r="L2" s="10">
        <v>3000000</v>
      </c>
      <c r="N2" s="11">
        <v>44773</v>
      </c>
    </row>
    <row r="3" spans="1:15" ht="15" customHeight="1" x14ac:dyDescent="0.25">
      <c r="A3" s="12"/>
      <c r="B3" s="13" t="s">
        <v>10</v>
      </c>
      <c r="G3" s="14"/>
      <c r="H3" s="15" t="s">
        <v>11</v>
      </c>
      <c r="I3" s="16"/>
      <c r="K3" s="10" t="s">
        <v>12</v>
      </c>
      <c r="L3" s="10">
        <v>600000</v>
      </c>
      <c r="N3" s="17" t="s">
        <v>13</v>
      </c>
    </row>
    <row r="4" spans="1:15" ht="15" customHeight="1" x14ac:dyDescent="0.25">
      <c r="A4" s="18"/>
      <c r="B4" s="19" t="s">
        <v>14</v>
      </c>
      <c r="C4" s="20" t="s">
        <v>15</v>
      </c>
      <c r="G4" s="21">
        <f>+L10</f>
        <v>3682000</v>
      </c>
      <c r="H4" s="22"/>
      <c r="I4" s="23"/>
      <c r="K4" s="24" t="s">
        <v>16</v>
      </c>
      <c r="L4" s="24">
        <v>18000</v>
      </c>
      <c r="M4" s="25"/>
      <c r="N4" s="26">
        <v>44773</v>
      </c>
    </row>
    <row r="5" spans="1:15" ht="15" customHeight="1" x14ac:dyDescent="0.25">
      <c r="A5" s="18"/>
      <c r="B5" s="19" t="s">
        <v>17</v>
      </c>
      <c r="C5" s="20" t="s">
        <v>18</v>
      </c>
      <c r="G5" s="21">
        <f>+L11+L12</f>
        <v>559200</v>
      </c>
      <c r="H5" s="22"/>
      <c r="I5" s="23"/>
      <c r="J5" s="2"/>
      <c r="K5" s="24" t="s">
        <v>19</v>
      </c>
      <c r="L5" s="24">
        <v>20000</v>
      </c>
      <c r="N5" s="27" t="s">
        <v>20</v>
      </c>
    </row>
    <row r="6" spans="1:15" ht="15" customHeight="1" thickBot="1" x14ac:dyDescent="0.3">
      <c r="A6" s="18"/>
      <c r="B6" s="19" t="s">
        <v>21</v>
      </c>
      <c r="C6" s="20" t="s">
        <v>22</v>
      </c>
      <c r="G6" s="28"/>
      <c r="H6" s="22"/>
      <c r="I6" s="23"/>
      <c r="J6" s="2"/>
      <c r="K6" s="10" t="s">
        <v>23</v>
      </c>
      <c r="L6" s="10">
        <v>20000</v>
      </c>
      <c r="N6" s="29">
        <v>44835</v>
      </c>
    </row>
    <row r="7" spans="1:15" ht="15" customHeight="1" x14ac:dyDescent="0.25">
      <c r="A7" s="18"/>
      <c r="B7" s="13"/>
      <c r="C7" s="20"/>
      <c r="F7" s="30" t="s">
        <v>24</v>
      </c>
      <c r="G7" s="31">
        <f>G4+G5+G6</f>
        <v>4241200</v>
      </c>
      <c r="H7" s="22"/>
      <c r="I7" s="23"/>
      <c r="J7" s="32" t="s">
        <v>25</v>
      </c>
      <c r="K7" s="10" t="s">
        <v>26</v>
      </c>
      <c r="L7" s="10">
        <v>18000</v>
      </c>
      <c r="M7" s="10">
        <v>10000</v>
      </c>
      <c r="N7" s="33" t="s">
        <v>27</v>
      </c>
    </row>
    <row r="8" spans="1:15" ht="15" customHeight="1" x14ac:dyDescent="0.25">
      <c r="A8" s="18"/>
      <c r="B8" s="34" t="s">
        <v>28</v>
      </c>
      <c r="C8" s="20" t="s">
        <v>29</v>
      </c>
      <c r="G8" s="28">
        <f>M10+M11</f>
        <v>24000</v>
      </c>
      <c r="H8" s="22"/>
      <c r="I8" s="23"/>
      <c r="J8" s="32" t="s">
        <v>30</v>
      </c>
      <c r="K8" s="24" t="s">
        <v>31</v>
      </c>
      <c r="L8" s="24">
        <v>3600</v>
      </c>
      <c r="M8" s="10">
        <v>3600</v>
      </c>
      <c r="N8" s="35" t="s">
        <v>32</v>
      </c>
    </row>
    <row r="9" spans="1:15" ht="15" customHeight="1" thickBot="1" x14ac:dyDescent="0.3">
      <c r="A9" s="18"/>
      <c r="B9" s="13"/>
      <c r="F9" s="30" t="s">
        <v>33</v>
      </c>
      <c r="G9" s="36">
        <f>G7-G8</f>
        <v>4217200</v>
      </c>
      <c r="H9" s="22"/>
      <c r="I9" s="23"/>
      <c r="J9" s="32" t="s">
        <v>30</v>
      </c>
      <c r="K9" s="10" t="s">
        <v>34</v>
      </c>
      <c r="L9" s="10">
        <v>2400</v>
      </c>
      <c r="M9" s="10">
        <v>2400</v>
      </c>
      <c r="N9" s="37">
        <v>5000</v>
      </c>
    </row>
    <row r="10" spans="1:15" ht="15" customHeight="1" thickBot="1" x14ac:dyDescent="0.3">
      <c r="A10" s="18"/>
      <c r="B10" s="19" t="s">
        <v>35</v>
      </c>
      <c r="C10" s="38" t="s">
        <v>36</v>
      </c>
      <c r="G10" s="28">
        <v>50000</v>
      </c>
      <c r="H10" s="22">
        <f>G9-G10</f>
        <v>4167200</v>
      </c>
      <c r="I10" s="23"/>
      <c r="J10" s="2"/>
      <c r="L10" s="39">
        <f>SUM(L2:L9)</f>
        <v>3682000</v>
      </c>
      <c r="M10" s="39">
        <f>SUM(M2:M9)</f>
        <v>16000</v>
      </c>
    </row>
    <row r="11" spans="1:15" ht="18.75" customHeight="1" thickTop="1" x14ac:dyDescent="0.25">
      <c r="A11" s="18"/>
      <c r="B11" s="13" t="s">
        <v>37</v>
      </c>
      <c r="E11" s="40"/>
      <c r="G11" s="14"/>
      <c r="H11" s="22"/>
      <c r="I11" s="23"/>
      <c r="J11" s="32" t="s">
        <v>38</v>
      </c>
      <c r="K11" s="41" t="s">
        <v>39</v>
      </c>
      <c r="L11" s="42">
        <v>12000</v>
      </c>
      <c r="M11" s="42">
        <v>8000</v>
      </c>
    </row>
    <row r="12" spans="1:15" ht="12.75" customHeight="1" x14ac:dyDescent="0.25">
      <c r="A12" s="18"/>
      <c r="B12" s="43" t="s">
        <v>40</v>
      </c>
      <c r="C12" s="44" t="s">
        <v>41</v>
      </c>
      <c r="D12" s="20"/>
      <c r="E12" s="45"/>
      <c r="F12" s="2"/>
      <c r="G12" s="46">
        <f>+L13</f>
        <v>150000</v>
      </c>
      <c r="H12" s="47"/>
      <c r="I12" s="23"/>
      <c r="K12" s="42" t="s">
        <v>42</v>
      </c>
      <c r="L12" s="42">
        <v>547200</v>
      </c>
      <c r="M12" s="42"/>
    </row>
    <row r="13" spans="1:15" ht="15" customHeight="1" x14ac:dyDescent="0.25">
      <c r="A13" s="18"/>
      <c r="B13" s="19" t="s">
        <v>43</v>
      </c>
      <c r="C13" s="38" t="s">
        <v>44</v>
      </c>
      <c r="D13" s="20"/>
      <c r="E13" s="45"/>
      <c r="F13" s="2"/>
      <c r="G13" s="2"/>
      <c r="H13" s="47"/>
      <c r="I13" s="23"/>
      <c r="K13" s="48" t="s">
        <v>45</v>
      </c>
      <c r="L13" s="49">
        <v>150000</v>
      </c>
      <c r="M13" s="49"/>
    </row>
    <row r="14" spans="1:15" ht="15" customHeight="1" x14ac:dyDescent="0.25">
      <c r="A14" s="18"/>
      <c r="C14" s="44"/>
      <c r="D14" s="20" t="s">
        <v>46</v>
      </c>
      <c r="F14" s="50">
        <f>G12*0.3</f>
        <v>45000</v>
      </c>
      <c r="G14" s="51"/>
      <c r="H14" s="47"/>
      <c r="I14" s="23"/>
      <c r="J14" s="52"/>
      <c r="K14" s="48" t="s">
        <v>47</v>
      </c>
      <c r="L14" s="49">
        <v>27000</v>
      </c>
      <c r="M14" s="49"/>
    </row>
    <row r="15" spans="1:15" ht="15" customHeight="1" x14ac:dyDescent="0.25">
      <c r="A15" s="18"/>
      <c r="C15" s="38"/>
      <c r="D15" s="38" t="s">
        <v>48</v>
      </c>
      <c r="F15" s="53">
        <v>45000</v>
      </c>
      <c r="G15" s="54">
        <f>F14+F15</f>
        <v>90000</v>
      </c>
      <c r="H15" s="47">
        <f>G12-G15</f>
        <v>60000</v>
      </c>
      <c r="I15" s="23"/>
      <c r="K15" s="48" t="s">
        <v>49</v>
      </c>
      <c r="L15" s="49">
        <v>4000</v>
      </c>
      <c r="M15" s="49"/>
    </row>
    <row r="16" spans="1:15" ht="15" customHeight="1" x14ac:dyDescent="0.25">
      <c r="A16" s="18"/>
      <c r="B16" s="13" t="s">
        <v>50</v>
      </c>
      <c r="C16" s="55"/>
      <c r="E16" s="56" t="s">
        <v>51</v>
      </c>
      <c r="H16" s="47"/>
      <c r="I16" s="23"/>
      <c r="K16" s="48" t="s">
        <v>52</v>
      </c>
      <c r="L16" s="49"/>
      <c r="M16" s="49">
        <v>45000</v>
      </c>
      <c r="N16" s="38"/>
      <c r="O16" s="38"/>
    </row>
    <row r="17" spans="1:15" ht="15" customHeight="1" thickBot="1" x14ac:dyDescent="0.3">
      <c r="A17" s="18"/>
      <c r="H17" s="47"/>
      <c r="I17" s="23"/>
      <c r="K17" s="10" t="s">
        <v>53</v>
      </c>
      <c r="L17" s="57">
        <v>2000500</v>
      </c>
      <c r="M17" s="2" t="s">
        <v>54</v>
      </c>
      <c r="N17" s="352" t="s">
        <v>55</v>
      </c>
      <c r="O17" s="352"/>
    </row>
    <row r="18" spans="1:15" ht="15" customHeight="1" x14ac:dyDescent="0.25">
      <c r="A18" s="18" t="s">
        <v>56</v>
      </c>
      <c r="B18" s="58" t="s">
        <v>57</v>
      </c>
      <c r="C18" s="10" t="s">
        <v>58</v>
      </c>
      <c r="F18" s="10">
        <f>+L17</f>
        <v>2000500</v>
      </c>
      <c r="H18" s="47"/>
      <c r="I18" s="23"/>
      <c r="K18" s="10" t="s">
        <v>59</v>
      </c>
      <c r="L18" s="59">
        <v>9500</v>
      </c>
      <c r="N18" s="60" t="s">
        <v>60</v>
      </c>
      <c r="O18" s="61" t="s">
        <v>61</v>
      </c>
    </row>
    <row r="19" spans="1:15" ht="15" customHeight="1" x14ac:dyDescent="0.25">
      <c r="A19" s="18"/>
      <c r="B19" s="58" t="s">
        <v>62</v>
      </c>
      <c r="C19" s="62" t="s">
        <v>63</v>
      </c>
      <c r="E19" s="63"/>
      <c r="F19" s="10">
        <f>+L18*-1</f>
        <v>-9500</v>
      </c>
      <c r="H19" s="47"/>
      <c r="I19" s="23"/>
      <c r="K19" s="10" t="s">
        <v>64</v>
      </c>
      <c r="L19" s="10">
        <v>400000</v>
      </c>
      <c r="M19" s="2" t="s">
        <v>65</v>
      </c>
      <c r="N19" s="64">
        <f>F18+F22</f>
        <v>11000500</v>
      </c>
      <c r="O19" s="65"/>
    </row>
    <row r="20" spans="1:15" ht="15" customHeight="1" x14ac:dyDescent="0.25">
      <c r="A20" s="18"/>
      <c r="B20" s="66"/>
      <c r="C20" s="34" t="s">
        <v>66</v>
      </c>
      <c r="E20" s="67" t="s">
        <v>67</v>
      </c>
      <c r="F20" s="68">
        <f>ROUND(L19*317/272,0)*-1</f>
        <v>-466176</v>
      </c>
      <c r="G20" s="10">
        <f>F18+F19+F20</f>
        <v>1524824</v>
      </c>
      <c r="H20" s="47"/>
      <c r="I20" s="23"/>
      <c r="M20" s="69"/>
      <c r="N20" s="70" t="s">
        <v>68</v>
      </c>
      <c r="O20" s="65" t="s">
        <v>69</v>
      </c>
    </row>
    <row r="21" spans="1:15" ht="15" customHeight="1" x14ac:dyDescent="0.25">
      <c r="A21" s="18"/>
      <c r="B21" s="71"/>
      <c r="E21" s="38"/>
      <c r="H21" s="47"/>
      <c r="I21" s="23"/>
      <c r="J21" s="2"/>
      <c r="K21" s="10" t="s">
        <v>70</v>
      </c>
      <c r="L21" s="57">
        <v>9000000</v>
      </c>
      <c r="M21" s="2" t="s">
        <v>54</v>
      </c>
      <c r="N21" s="72">
        <f>(F20+F23)</f>
        <v>-1179426</v>
      </c>
      <c r="O21" s="65"/>
    </row>
    <row r="22" spans="1:15" ht="15" customHeight="1" x14ac:dyDescent="0.25">
      <c r="A22" s="18" t="s">
        <v>71</v>
      </c>
      <c r="B22" s="58" t="s">
        <v>72</v>
      </c>
      <c r="C22" s="10" t="s">
        <v>73</v>
      </c>
      <c r="F22" s="10">
        <f>+L21</f>
        <v>9000000</v>
      </c>
      <c r="H22" s="47"/>
      <c r="I22" s="23"/>
      <c r="J22" s="2"/>
      <c r="K22" s="10" t="s">
        <v>74</v>
      </c>
      <c r="L22" s="10">
        <v>450000</v>
      </c>
      <c r="M22" s="2" t="s">
        <v>75</v>
      </c>
      <c r="N22" s="70" t="s">
        <v>76</v>
      </c>
      <c r="O22" s="65" t="s">
        <v>77</v>
      </c>
    </row>
    <row r="23" spans="1:15" ht="15" customHeight="1" x14ac:dyDescent="0.25">
      <c r="A23" s="18"/>
      <c r="B23" s="58" t="s">
        <v>62</v>
      </c>
      <c r="C23" s="73" t="s">
        <v>78</v>
      </c>
      <c r="E23" s="32" t="s">
        <v>79</v>
      </c>
      <c r="F23" s="68">
        <f>ROUND(L22*317/200,0)*-1</f>
        <v>-713250</v>
      </c>
      <c r="G23" s="10">
        <f>F22+F23</f>
        <v>8286750</v>
      </c>
      <c r="H23" s="47"/>
      <c r="I23" s="23"/>
      <c r="J23" s="2"/>
      <c r="K23" s="10" t="s">
        <v>80</v>
      </c>
      <c r="L23" s="10">
        <v>1050000</v>
      </c>
      <c r="N23" s="74">
        <f>F19</f>
        <v>-9500</v>
      </c>
      <c r="O23" s="65"/>
    </row>
    <row r="24" spans="1:15" ht="15" customHeight="1" thickBot="1" x14ac:dyDescent="0.3">
      <c r="A24" s="18"/>
      <c r="B24" s="38"/>
      <c r="C24" s="34" t="s">
        <v>81</v>
      </c>
      <c r="F24" s="10" t="s">
        <v>82</v>
      </c>
      <c r="H24" s="47"/>
      <c r="I24" s="23"/>
      <c r="J24" s="2"/>
      <c r="N24" s="75">
        <f>N19+N21+N23</f>
        <v>9811574</v>
      </c>
      <c r="O24" s="76" t="s">
        <v>83</v>
      </c>
    </row>
    <row r="25" spans="1:15" ht="15" customHeight="1" x14ac:dyDescent="0.25">
      <c r="A25" s="18"/>
      <c r="B25" s="38"/>
      <c r="C25" s="34"/>
      <c r="F25" s="77"/>
      <c r="H25" s="47"/>
      <c r="I25" s="23"/>
      <c r="J25" s="78"/>
      <c r="K25" s="339"/>
      <c r="L25" s="339"/>
      <c r="M25" s="339"/>
      <c r="N25" s="79"/>
      <c r="O25" s="79"/>
    </row>
    <row r="26" spans="1:15" ht="15" customHeight="1" x14ac:dyDescent="0.25">
      <c r="A26" s="340" t="s">
        <v>84</v>
      </c>
      <c r="B26" s="340"/>
      <c r="C26" s="340"/>
      <c r="D26" s="340"/>
      <c r="E26" s="340"/>
      <c r="F26" s="340"/>
      <c r="H26" s="47"/>
      <c r="I26" s="23"/>
      <c r="J26" s="80" t="s">
        <v>85</v>
      </c>
      <c r="K26" s="81" t="s">
        <v>86</v>
      </c>
      <c r="L26" s="82">
        <f>3740*500</f>
        <v>1870000</v>
      </c>
      <c r="M26" s="83" t="s">
        <v>87</v>
      </c>
      <c r="N26" s="84"/>
    </row>
    <row r="27" spans="1:15" ht="15" customHeight="1" x14ac:dyDescent="0.25">
      <c r="A27" s="85" t="s">
        <v>88</v>
      </c>
      <c r="B27" s="86" t="s">
        <v>89</v>
      </c>
      <c r="C27" s="87" t="s">
        <v>90</v>
      </c>
      <c r="D27" s="87"/>
      <c r="E27" s="88" t="s">
        <v>91</v>
      </c>
      <c r="F27" s="89">
        <f>+L26</f>
        <v>1870000</v>
      </c>
      <c r="H27" s="47"/>
      <c r="I27" s="23"/>
      <c r="J27" s="90"/>
      <c r="K27" s="82" t="s">
        <v>92</v>
      </c>
      <c r="L27" s="82">
        <f>3740*320</f>
        <v>1196800</v>
      </c>
      <c r="M27" s="83" t="s">
        <v>93</v>
      </c>
      <c r="N27" s="84"/>
    </row>
    <row r="28" spans="1:15" ht="15" customHeight="1" thickBot="1" x14ac:dyDescent="0.3">
      <c r="A28" s="91"/>
      <c r="B28" s="92" t="s">
        <v>94</v>
      </c>
      <c r="C28" s="93" t="s">
        <v>95</v>
      </c>
      <c r="D28" s="87"/>
      <c r="E28" s="88"/>
      <c r="F28" s="94">
        <f>+L28*-1</f>
        <v>-1575000</v>
      </c>
      <c r="G28" s="87">
        <f>F27+F28</f>
        <v>295000</v>
      </c>
      <c r="H28" s="47"/>
      <c r="I28" s="23"/>
      <c r="J28" s="90"/>
      <c r="K28" s="82" t="s">
        <v>96</v>
      </c>
      <c r="L28" s="82">
        <v>1575000</v>
      </c>
      <c r="N28" s="84"/>
    </row>
    <row r="29" spans="1:15" ht="15" customHeight="1" thickBot="1" x14ac:dyDescent="0.3">
      <c r="A29" s="18"/>
      <c r="B29" s="95"/>
      <c r="C29" s="96"/>
      <c r="D29" s="97"/>
      <c r="E29" s="98"/>
      <c r="F29" s="99"/>
      <c r="G29" s="97"/>
      <c r="H29" s="47"/>
      <c r="I29" s="23"/>
      <c r="J29" s="90"/>
      <c r="K29" s="341" t="s">
        <v>97</v>
      </c>
      <c r="L29" s="342"/>
      <c r="M29" s="342"/>
      <c r="N29" s="100">
        <f>G28+G31</f>
        <v>785000</v>
      </c>
      <c r="O29" s="101" t="s">
        <v>98</v>
      </c>
    </row>
    <row r="30" spans="1:15" ht="15" customHeight="1" x14ac:dyDescent="0.25">
      <c r="A30" s="102" t="s">
        <v>99</v>
      </c>
      <c r="B30" s="103" t="s">
        <v>89</v>
      </c>
      <c r="C30" s="104" t="s">
        <v>100</v>
      </c>
      <c r="D30" s="104"/>
      <c r="E30" s="105" t="s">
        <v>101</v>
      </c>
      <c r="F30" s="104">
        <f>+L30</f>
        <v>3800000</v>
      </c>
      <c r="G30" s="97"/>
      <c r="H30" s="47"/>
      <c r="I30" s="23"/>
      <c r="J30" s="106" t="s">
        <v>85</v>
      </c>
      <c r="K30" s="107" t="s">
        <v>102</v>
      </c>
      <c r="L30" s="108">
        <f>3800*1000</f>
        <v>3800000</v>
      </c>
      <c r="M30" s="83" t="s">
        <v>103</v>
      </c>
    </row>
    <row r="31" spans="1:15" ht="15" customHeight="1" x14ac:dyDescent="0.25">
      <c r="A31" s="109"/>
      <c r="B31" s="110" t="s">
        <v>94</v>
      </c>
      <c r="C31" s="111" t="s">
        <v>95</v>
      </c>
      <c r="D31" s="104"/>
      <c r="E31" s="105"/>
      <c r="F31" s="112">
        <f>+L32</f>
        <v>3310000</v>
      </c>
      <c r="G31" s="113">
        <f>F30-F31</f>
        <v>490000</v>
      </c>
      <c r="H31" s="47"/>
      <c r="I31" s="23"/>
      <c r="J31" s="108"/>
      <c r="K31" s="107" t="s">
        <v>104</v>
      </c>
      <c r="L31" s="108">
        <f>3800*57</f>
        <v>216600</v>
      </c>
      <c r="M31" s="83" t="s">
        <v>105</v>
      </c>
    </row>
    <row r="32" spans="1:15" ht="15" customHeight="1" x14ac:dyDescent="0.25">
      <c r="A32" s="18"/>
      <c r="C32" s="73"/>
      <c r="H32" s="47"/>
      <c r="I32" s="23"/>
      <c r="J32" s="108"/>
      <c r="K32" s="107" t="s">
        <v>96</v>
      </c>
      <c r="L32" s="108">
        <v>3310000</v>
      </c>
    </row>
    <row r="33" spans="1:14" ht="15" customHeight="1" x14ac:dyDescent="0.25">
      <c r="A33" s="18"/>
      <c r="C33" s="114" t="s">
        <v>106</v>
      </c>
      <c r="D33" s="115">
        <f>G20+G23</f>
        <v>9811574</v>
      </c>
      <c r="E33" s="116" t="s">
        <v>107</v>
      </c>
      <c r="F33" s="117">
        <f>G28+G31</f>
        <v>785000</v>
      </c>
      <c r="H33" s="47">
        <f>G20+G23+G28+G31</f>
        <v>10596574</v>
      </c>
      <c r="I33" s="23"/>
      <c r="J33" s="108"/>
      <c r="K33" s="118"/>
      <c r="L33" s="108"/>
      <c r="M33" s="119"/>
      <c r="N33" s="84"/>
    </row>
    <row r="34" spans="1:14" ht="15" customHeight="1" x14ac:dyDescent="0.25">
      <c r="A34" s="18"/>
      <c r="B34" s="13" t="s">
        <v>108</v>
      </c>
      <c r="H34" s="47"/>
      <c r="I34" s="23"/>
    </row>
    <row r="35" spans="1:14" ht="15" customHeight="1" x14ac:dyDescent="0.25">
      <c r="A35" s="18"/>
      <c r="B35" s="120"/>
      <c r="C35" s="121" t="s">
        <v>109</v>
      </c>
      <c r="D35" s="19"/>
      <c r="E35" s="19"/>
      <c r="F35" s="38"/>
      <c r="G35" s="10">
        <f>+L35</f>
        <v>24900</v>
      </c>
      <c r="H35" s="47"/>
      <c r="I35" s="23"/>
      <c r="K35" s="10" t="s">
        <v>109</v>
      </c>
      <c r="L35" s="10">
        <v>24900</v>
      </c>
    </row>
    <row r="36" spans="1:14" ht="15" customHeight="1" x14ac:dyDescent="0.25">
      <c r="A36" s="18"/>
      <c r="B36" s="120"/>
      <c r="C36" s="97" t="s">
        <v>110</v>
      </c>
      <c r="D36" s="19"/>
      <c r="E36" s="19"/>
      <c r="F36" s="38"/>
      <c r="G36" s="9">
        <f>82000+50000</f>
        <v>132000</v>
      </c>
      <c r="H36" s="47"/>
      <c r="I36" s="23"/>
      <c r="K36" s="10" t="s">
        <v>111</v>
      </c>
      <c r="M36" s="122"/>
    </row>
    <row r="37" spans="1:14" ht="15" customHeight="1" x14ac:dyDescent="0.25">
      <c r="A37" s="18"/>
      <c r="B37" s="120" t="s">
        <v>112</v>
      </c>
      <c r="C37" s="97" t="s">
        <v>113</v>
      </c>
      <c r="D37" s="19"/>
      <c r="E37" s="19"/>
      <c r="F37" s="38"/>
      <c r="G37" s="9">
        <f>74000-1500</f>
        <v>72500</v>
      </c>
      <c r="H37" s="47"/>
      <c r="I37" s="23"/>
      <c r="K37" s="10" t="s">
        <v>114</v>
      </c>
      <c r="L37" s="10">
        <v>74000</v>
      </c>
      <c r="M37" s="122"/>
    </row>
    <row r="38" spans="1:14" ht="15" customHeight="1" x14ac:dyDescent="0.25">
      <c r="A38" s="18"/>
      <c r="B38" s="120"/>
      <c r="C38" s="10" t="s">
        <v>115</v>
      </c>
      <c r="D38" s="19"/>
      <c r="E38" s="19"/>
      <c r="F38" s="38"/>
      <c r="G38" s="9">
        <f>+L38</f>
        <v>120000</v>
      </c>
      <c r="H38" s="47"/>
      <c r="I38" s="23"/>
      <c r="K38" s="10" t="s">
        <v>116</v>
      </c>
      <c r="L38" s="10">
        <v>120000</v>
      </c>
      <c r="M38" s="123">
        <v>44355</v>
      </c>
    </row>
    <row r="39" spans="1:14" ht="15" customHeight="1" x14ac:dyDescent="0.25">
      <c r="A39" s="18"/>
      <c r="B39" s="120"/>
      <c r="C39" s="10" t="s">
        <v>117</v>
      </c>
      <c r="G39" s="124">
        <f>+L39</f>
        <v>224800</v>
      </c>
      <c r="H39" s="47">
        <f>SUM(G35:G39)</f>
        <v>574200</v>
      </c>
      <c r="I39" s="23"/>
      <c r="K39" s="45" t="s">
        <v>117</v>
      </c>
      <c r="L39" s="10">
        <v>224800</v>
      </c>
      <c r="M39" s="123">
        <v>44362</v>
      </c>
    </row>
    <row r="40" spans="1:14" ht="15" customHeight="1" x14ac:dyDescent="0.25">
      <c r="A40" s="18"/>
      <c r="B40" s="120"/>
      <c r="G40" s="9"/>
      <c r="H40" s="47"/>
      <c r="I40" s="125"/>
      <c r="M40" s="97"/>
    </row>
    <row r="41" spans="1:14" ht="15" customHeight="1" x14ac:dyDescent="0.25">
      <c r="A41" s="18"/>
      <c r="B41" s="13" t="s">
        <v>118</v>
      </c>
      <c r="E41" s="2"/>
      <c r="F41" s="2"/>
      <c r="G41" s="22"/>
      <c r="H41" s="126">
        <f>SUM(H4:H40)</f>
        <v>15397974</v>
      </c>
      <c r="I41" s="127"/>
    </row>
    <row r="42" spans="1:14" ht="15" customHeight="1" x14ac:dyDescent="0.25">
      <c r="A42" s="18"/>
      <c r="B42" s="128" t="s">
        <v>119</v>
      </c>
      <c r="H42" s="47"/>
      <c r="I42" s="23"/>
    </row>
    <row r="43" spans="1:14" ht="15" customHeight="1" x14ac:dyDescent="0.25">
      <c r="A43" s="18"/>
      <c r="B43" s="129"/>
      <c r="C43" s="40" t="s">
        <v>120</v>
      </c>
      <c r="D43" s="10" t="str">
        <f>+K43</f>
        <v>Recognised Prov Fund</v>
      </c>
      <c r="F43" s="38">
        <f>+L43</f>
        <v>80000</v>
      </c>
      <c r="H43" s="47"/>
      <c r="I43" s="23"/>
      <c r="K43" s="130" t="s">
        <v>121</v>
      </c>
      <c r="L43" s="130">
        <v>80000</v>
      </c>
    </row>
    <row r="44" spans="1:14" ht="15" customHeight="1" x14ac:dyDescent="0.25">
      <c r="A44" s="18"/>
      <c r="B44" s="129"/>
      <c r="C44" s="40"/>
      <c r="D44" s="10" t="str">
        <f>+K44</f>
        <v>Public Prov Fund</v>
      </c>
      <c r="F44" s="38">
        <f>+L44</f>
        <v>22000</v>
      </c>
      <c r="H44" s="47"/>
      <c r="I44" s="23"/>
      <c r="K44" s="130" t="s">
        <v>122</v>
      </c>
      <c r="L44" s="130">
        <v>22000</v>
      </c>
    </row>
    <row r="45" spans="1:14" ht="15" customHeight="1" x14ac:dyDescent="0.25">
      <c r="A45" s="18"/>
      <c r="B45" s="129"/>
      <c r="D45" s="130" t="s">
        <v>123</v>
      </c>
      <c r="F45" s="53">
        <f>+L45</f>
        <v>4000</v>
      </c>
      <c r="G45" s="131">
        <f>F43+F44+F45</f>
        <v>106000</v>
      </c>
      <c r="H45" s="47"/>
      <c r="I45" s="23"/>
      <c r="K45" s="130" t="s">
        <v>123</v>
      </c>
      <c r="L45" s="130">
        <v>4000</v>
      </c>
    </row>
    <row r="46" spans="1:14" ht="15" customHeight="1" x14ac:dyDescent="0.25">
      <c r="A46" s="18"/>
      <c r="B46" s="129"/>
      <c r="C46" s="40" t="s">
        <v>124</v>
      </c>
      <c r="F46" s="38"/>
      <c r="G46" s="131">
        <f>L46-G47</f>
        <v>10000</v>
      </c>
      <c r="H46" s="47"/>
      <c r="I46" s="23"/>
      <c r="K46" s="130" t="s">
        <v>125</v>
      </c>
      <c r="L46" s="130">
        <v>60000</v>
      </c>
    </row>
    <row r="47" spans="1:14" ht="15" customHeight="1" x14ac:dyDescent="0.25">
      <c r="A47" s="18"/>
      <c r="B47" s="129"/>
      <c r="C47" s="40" t="s">
        <v>126</v>
      </c>
      <c r="F47" s="132"/>
      <c r="G47" s="131">
        <v>50000</v>
      </c>
      <c r="H47" s="47"/>
      <c r="I47" s="23"/>
      <c r="K47" s="130" t="s">
        <v>127</v>
      </c>
      <c r="L47" s="10">
        <v>30000</v>
      </c>
      <c r="M47" s="77" t="s">
        <v>128</v>
      </c>
    </row>
    <row r="48" spans="1:14" ht="15" customHeight="1" x14ac:dyDescent="0.25">
      <c r="A48" s="18"/>
      <c r="B48" s="129"/>
      <c r="C48" s="40" t="s">
        <v>129</v>
      </c>
      <c r="D48" s="38" t="s">
        <v>130</v>
      </c>
      <c r="F48" s="132"/>
      <c r="G48" s="46">
        <v>25000</v>
      </c>
      <c r="H48" s="47"/>
      <c r="I48" s="23"/>
      <c r="K48" s="130" t="s">
        <v>131</v>
      </c>
      <c r="L48" s="10">
        <v>20000</v>
      </c>
      <c r="M48" s="10" t="s">
        <v>132</v>
      </c>
    </row>
    <row r="49" spans="1:14" ht="15" customHeight="1" x14ac:dyDescent="0.25">
      <c r="A49" s="18"/>
      <c r="B49" s="129"/>
      <c r="C49" s="40" t="s">
        <v>133</v>
      </c>
      <c r="F49" s="132"/>
      <c r="G49" s="46">
        <v>87000</v>
      </c>
      <c r="H49" s="47"/>
      <c r="I49" s="23"/>
      <c r="K49" s="10" t="s">
        <v>134</v>
      </c>
      <c r="L49" s="10">
        <v>87000</v>
      </c>
    </row>
    <row r="50" spans="1:14" ht="15" customHeight="1" x14ac:dyDescent="0.25">
      <c r="A50" s="18"/>
      <c r="C50" s="40" t="s">
        <v>135</v>
      </c>
      <c r="D50" s="38" t="s">
        <v>136</v>
      </c>
      <c r="E50" s="2"/>
      <c r="F50" s="2"/>
      <c r="G50" s="54">
        <v>10000</v>
      </c>
      <c r="H50" s="47">
        <f>SUM(G45:G50)</f>
        <v>288000</v>
      </c>
      <c r="I50" s="23"/>
      <c r="K50" s="133"/>
    </row>
    <row r="51" spans="1:14" ht="15" customHeight="1" thickBot="1" x14ac:dyDescent="0.3">
      <c r="A51" s="18"/>
      <c r="B51" s="134" t="s">
        <v>137</v>
      </c>
      <c r="E51" s="135">
        <f>IF((H41-H50)&lt;0,0,(H41-H50))</f>
        <v>15109974</v>
      </c>
      <c r="F51" s="136" t="s">
        <v>138</v>
      </c>
      <c r="G51" s="137"/>
      <c r="H51" s="138">
        <f>ROUND((E51/10),0)*10-1</f>
        <v>15109969</v>
      </c>
      <c r="I51" s="139"/>
      <c r="K51" s="132" t="s">
        <v>139</v>
      </c>
    </row>
    <row r="52" spans="1:14" ht="15" customHeight="1" thickTop="1" x14ac:dyDescent="0.25">
      <c r="A52" s="18"/>
      <c r="B52" s="132" t="s">
        <v>140</v>
      </c>
      <c r="E52" s="140" t="s">
        <v>141</v>
      </c>
      <c r="F52" s="141" t="s">
        <v>142</v>
      </c>
      <c r="G52" s="140" t="s">
        <v>143</v>
      </c>
      <c r="H52" s="142"/>
      <c r="I52" s="143"/>
      <c r="K52" s="83" t="s">
        <v>144</v>
      </c>
      <c r="L52" s="144">
        <v>0.05</v>
      </c>
      <c r="M52" s="10">
        <f>250000*5%</f>
        <v>12500</v>
      </c>
    </row>
    <row r="53" spans="1:14" ht="15" customHeight="1" x14ac:dyDescent="0.25">
      <c r="A53" s="18"/>
      <c r="B53" s="145">
        <f>H10+H15+H39-H50</f>
        <v>4513400</v>
      </c>
      <c r="C53" s="38" t="s">
        <v>145</v>
      </c>
      <c r="E53" s="9">
        <f>H51-E55-E54</f>
        <v>4513395</v>
      </c>
      <c r="F53" s="146"/>
      <c r="G53" s="10">
        <f>IF(+I2="Sr",ROUND(IF(E53&gt;1000000,(((E53-1000000)*0.3)+110000),IF(E53&gt;500000,(((E53-500000)*0.2)+10000),IF(E53&gt;300000,((E53-300000)*0.05),0))),0),ROUND(IF(E53&gt;1000000,(((E53-1000000)*0.3)+112500),IF(E53&gt;500000,(((E53-500000)*0.2)+12500),IF(E53&gt;250000,((E53-250000)*0.05),0))),0))</f>
        <v>1166519</v>
      </c>
      <c r="H53" s="142"/>
      <c r="I53" s="143"/>
      <c r="K53" s="83" t="s">
        <v>146</v>
      </c>
      <c r="L53" s="144">
        <v>0.2</v>
      </c>
      <c r="M53" s="10">
        <f>500000*20%</f>
        <v>100000</v>
      </c>
    </row>
    <row r="54" spans="1:14" ht="15" customHeight="1" x14ac:dyDescent="0.25">
      <c r="A54" s="18"/>
      <c r="B54" s="147" t="s">
        <v>147</v>
      </c>
      <c r="C54" s="38" t="s">
        <v>148</v>
      </c>
      <c r="E54" s="9">
        <f>(G28+G31)</f>
        <v>785000</v>
      </c>
      <c r="F54" s="148">
        <v>0.1</v>
      </c>
      <c r="G54" s="10">
        <f>(E54-100000)*F54</f>
        <v>68500</v>
      </c>
      <c r="H54" s="142"/>
      <c r="I54" s="143"/>
      <c r="K54" s="83" t="s">
        <v>149</v>
      </c>
      <c r="L54" s="144">
        <v>0.3</v>
      </c>
      <c r="M54" s="10">
        <f>ROUND((E53-1000000)*30%,0)</f>
        <v>1054019</v>
      </c>
    </row>
    <row r="55" spans="1:14" ht="15" customHeight="1" thickBot="1" x14ac:dyDescent="0.3">
      <c r="A55" s="18"/>
      <c r="B55" s="147" t="s">
        <v>147</v>
      </c>
      <c r="C55" s="38" t="s">
        <v>150</v>
      </c>
      <c r="E55" s="149">
        <f>+G23+G20</f>
        <v>9811574</v>
      </c>
      <c r="F55" s="150">
        <v>0.2</v>
      </c>
      <c r="G55" s="54">
        <f>ROUND(E55*F55,0)</f>
        <v>1962315</v>
      </c>
      <c r="H55" s="151"/>
      <c r="I55" s="152"/>
      <c r="M55" s="153">
        <f>SUM(M52:M54)</f>
        <v>1166519</v>
      </c>
    </row>
    <row r="56" spans="1:14" ht="15" customHeight="1" thickTop="1" x14ac:dyDescent="0.25">
      <c r="A56" s="18"/>
      <c r="D56" s="146"/>
      <c r="E56" s="2"/>
      <c r="G56" s="25">
        <f>G53+G55+G54</f>
        <v>3197334</v>
      </c>
      <c r="H56" s="154"/>
      <c r="I56" s="155"/>
      <c r="K56" s="10" t="s">
        <v>151</v>
      </c>
      <c r="L56" s="9">
        <f>+E55</f>
        <v>9811574</v>
      </c>
    </row>
    <row r="57" spans="1:14" ht="15" customHeight="1" x14ac:dyDescent="0.25">
      <c r="A57" s="18"/>
      <c r="B57" s="38" t="s">
        <v>152</v>
      </c>
      <c r="C57" s="38" t="s">
        <v>153</v>
      </c>
      <c r="D57" s="146"/>
      <c r="E57" s="2"/>
      <c r="G57" s="156"/>
      <c r="H57" s="157">
        <f>G56-G57</f>
        <v>3197334</v>
      </c>
      <c r="I57" s="158"/>
      <c r="K57" s="10" t="s">
        <v>154</v>
      </c>
      <c r="L57" s="9">
        <f>+E54</f>
        <v>785000</v>
      </c>
      <c r="N57" s="10">
        <f>H57/H51</f>
        <v>0.21160427264940121</v>
      </c>
    </row>
    <row r="58" spans="1:14" ht="15" customHeight="1" x14ac:dyDescent="0.25">
      <c r="A58" s="18"/>
      <c r="B58" s="10" t="s">
        <v>155</v>
      </c>
      <c r="C58" s="38"/>
      <c r="D58" s="146"/>
      <c r="E58" s="2"/>
      <c r="G58" s="159">
        <v>0.15</v>
      </c>
      <c r="H58" s="160">
        <f>IF(H51&gt;10000000,H57*15%,IF(H51&gt;5000000,H57*10%,0))</f>
        <v>479600.1</v>
      </c>
      <c r="I58" s="161"/>
    </row>
    <row r="59" spans="1:14" ht="15" customHeight="1" x14ac:dyDescent="0.25">
      <c r="A59" s="18"/>
      <c r="C59" s="38"/>
      <c r="D59" s="146"/>
      <c r="E59" s="2"/>
      <c r="G59" s="25"/>
      <c r="H59" s="157">
        <f>H57+H58</f>
        <v>3676934.1</v>
      </c>
      <c r="I59" s="158"/>
    </row>
    <row r="60" spans="1:14" ht="15" customHeight="1" x14ac:dyDescent="0.25">
      <c r="A60" s="18"/>
      <c r="B60" s="38" t="s">
        <v>156</v>
      </c>
      <c r="D60" s="146"/>
      <c r="E60" s="2"/>
      <c r="G60" s="159">
        <v>0.04</v>
      </c>
      <c r="H60" s="160">
        <f>ROUND((H59)*0.04,0)</f>
        <v>147077</v>
      </c>
      <c r="I60" s="161"/>
      <c r="K60" s="162" t="s">
        <v>157</v>
      </c>
      <c r="L60" s="163" t="s">
        <v>158</v>
      </c>
      <c r="M60" s="163" t="s">
        <v>159</v>
      </c>
      <c r="N60" s="163" t="s">
        <v>160</v>
      </c>
    </row>
    <row r="61" spans="1:14" ht="15" customHeight="1" x14ac:dyDescent="0.25">
      <c r="A61" s="18"/>
      <c r="B61" s="132" t="s">
        <v>161</v>
      </c>
      <c r="D61" s="146"/>
      <c r="E61" s="136"/>
      <c r="G61" s="2"/>
      <c r="H61" s="154">
        <f>SUM(H59:H60)</f>
        <v>3824011.1</v>
      </c>
      <c r="I61" s="155"/>
      <c r="J61" s="164"/>
      <c r="K61" s="165" t="s">
        <v>162</v>
      </c>
      <c r="L61" s="166">
        <v>9000</v>
      </c>
      <c r="M61" s="166">
        <v>308000</v>
      </c>
      <c r="N61" s="167"/>
    </row>
    <row r="62" spans="1:14" ht="15" customHeight="1" x14ac:dyDescent="0.3">
      <c r="A62" s="18"/>
      <c r="B62" s="38" t="s">
        <v>163</v>
      </c>
      <c r="D62" s="146"/>
      <c r="E62" s="168" t="s">
        <v>164</v>
      </c>
      <c r="G62" s="169"/>
      <c r="H62" s="154">
        <f>+H103+900</f>
        <v>404930</v>
      </c>
      <c r="I62" s="155"/>
      <c r="J62" s="164">
        <v>900</v>
      </c>
      <c r="K62" s="165" t="s">
        <v>165</v>
      </c>
      <c r="L62" s="166">
        <v>8001500</v>
      </c>
      <c r="M62" s="170"/>
      <c r="N62" s="167"/>
    </row>
    <row r="63" spans="1:14" ht="15" customHeight="1" x14ac:dyDescent="0.25">
      <c r="A63" s="18"/>
      <c r="B63" s="38" t="s">
        <v>166</v>
      </c>
      <c r="C63" s="2"/>
      <c r="D63" s="2"/>
      <c r="E63" s="2" t="s">
        <v>167</v>
      </c>
      <c r="G63" s="169"/>
      <c r="H63" s="171">
        <v>5000</v>
      </c>
      <c r="I63" s="172"/>
      <c r="J63" s="164"/>
      <c r="K63" s="165" t="s">
        <v>168</v>
      </c>
      <c r="L63" s="166">
        <v>86000</v>
      </c>
      <c r="M63" s="170"/>
      <c r="N63" s="167"/>
    </row>
    <row r="64" spans="1:14" ht="15" customHeight="1" x14ac:dyDescent="0.25">
      <c r="A64" s="18"/>
      <c r="B64" s="132" t="s">
        <v>169</v>
      </c>
      <c r="C64" s="2"/>
      <c r="D64" s="2"/>
      <c r="E64" s="2"/>
      <c r="F64" s="2"/>
      <c r="G64" s="2"/>
      <c r="H64" s="47">
        <f>H61+H63+H62</f>
        <v>4233941.0999999996</v>
      </c>
      <c r="I64" s="23"/>
      <c r="J64" s="38"/>
      <c r="K64" s="165" t="s">
        <v>170</v>
      </c>
      <c r="L64" s="166">
        <v>515000</v>
      </c>
      <c r="M64" s="170"/>
    </row>
    <row r="65" spans="1:14" ht="15" customHeight="1" x14ac:dyDescent="0.25">
      <c r="A65" s="18"/>
      <c r="B65" s="13" t="s">
        <v>171</v>
      </c>
      <c r="C65" s="2"/>
      <c r="D65" s="2"/>
      <c r="E65" s="2"/>
      <c r="F65" s="2"/>
      <c r="G65" s="2"/>
      <c r="H65" s="47"/>
      <c r="I65" s="23"/>
      <c r="K65" s="173" t="s">
        <v>172</v>
      </c>
      <c r="L65" s="174">
        <f>L61+L62+L63+L64</f>
        <v>8611500</v>
      </c>
      <c r="M65" s="170"/>
    </row>
    <row r="66" spans="1:14" ht="15" customHeight="1" x14ac:dyDescent="0.3">
      <c r="A66" s="18"/>
      <c r="B66" s="175">
        <v>44545</v>
      </c>
      <c r="C66" s="343" t="s">
        <v>173</v>
      </c>
      <c r="D66" s="343"/>
      <c r="E66" s="176"/>
      <c r="F66" s="176"/>
      <c r="G66" s="149">
        <v>118000</v>
      </c>
      <c r="H66" s="47"/>
      <c r="I66" s="23"/>
      <c r="K66" s="165" t="s">
        <v>174</v>
      </c>
      <c r="L66" s="166">
        <v>48000</v>
      </c>
      <c r="M66" s="177" t="s">
        <v>175</v>
      </c>
    </row>
    <row r="67" spans="1:14" ht="15" customHeight="1" x14ac:dyDescent="0.3">
      <c r="A67" s="18"/>
      <c r="B67" s="175">
        <v>44610</v>
      </c>
      <c r="C67" s="343" t="s">
        <v>173</v>
      </c>
      <c r="D67" s="343"/>
      <c r="G67" s="149">
        <v>10000</v>
      </c>
      <c r="H67" s="47"/>
      <c r="I67" s="23"/>
      <c r="N67" s="178"/>
    </row>
    <row r="68" spans="1:14" ht="15" customHeight="1" x14ac:dyDescent="0.3">
      <c r="A68" s="18"/>
      <c r="B68" s="179"/>
      <c r="C68" s="343" t="s">
        <v>176</v>
      </c>
      <c r="D68" s="343"/>
      <c r="E68" s="176" t="s">
        <v>177</v>
      </c>
      <c r="F68" s="180"/>
      <c r="G68" s="149">
        <v>1018500</v>
      </c>
      <c r="H68" s="47">
        <f>SUM(G66:G68)</f>
        <v>1146500</v>
      </c>
      <c r="I68" s="23"/>
      <c r="K68" s="181" t="s">
        <v>178</v>
      </c>
      <c r="L68" s="182"/>
      <c r="M68" s="182"/>
    </row>
    <row r="69" spans="1:14" ht="15" customHeight="1" thickBot="1" x14ac:dyDescent="0.3">
      <c r="A69" s="183"/>
      <c r="B69" s="184" t="str">
        <f>IF(H69=0,"TAX  PAYABLE / REFUND ",IF(H69&lt;0,"REFUND","TAX  PAYABLE including Interest"))</f>
        <v>TAX  PAYABLE including Interest</v>
      </c>
      <c r="C69" s="185"/>
      <c r="D69" s="186"/>
      <c r="E69" s="186"/>
      <c r="F69" s="187" t="s">
        <v>179</v>
      </c>
      <c r="G69" s="188"/>
      <c r="H69" s="189">
        <f>ROUND((H64-H68)/10,0)*10</f>
        <v>3087440</v>
      </c>
      <c r="I69" s="190"/>
      <c r="K69" s="182" t="s">
        <v>180</v>
      </c>
      <c r="L69" s="182"/>
      <c r="M69" s="191">
        <f>+H10</f>
        <v>4167200</v>
      </c>
    </row>
    <row r="70" spans="1:14" ht="15" customHeight="1" x14ac:dyDescent="0.25">
      <c r="A70" s="332" t="s">
        <v>181</v>
      </c>
      <c r="B70" s="333"/>
      <c r="C70" s="333"/>
      <c r="D70" s="333"/>
      <c r="E70" s="333"/>
      <c r="F70" s="333"/>
      <c r="G70" s="333"/>
      <c r="H70" s="333"/>
      <c r="I70" s="334"/>
      <c r="K70" s="192" t="s">
        <v>182</v>
      </c>
      <c r="L70" s="182"/>
      <c r="M70" s="193">
        <f>+G45+G46+G47+G48+G49</f>
        <v>278000</v>
      </c>
    </row>
    <row r="71" spans="1:14" ht="15" customHeight="1" thickBot="1" x14ac:dyDescent="0.3">
      <c r="A71" s="335"/>
      <c r="B71" s="336"/>
      <c r="C71" s="194" t="s">
        <v>183</v>
      </c>
      <c r="D71" s="195"/>
      <c r="E71" s="196" t="s">
        <v>184</v>
      </c>
      <c r="F71" s="337" t="s">
        <v>185</v>
      </c>
      <c r="G71" s="337"/>
      <c r="H71" s="337"/>
      <c r="I71" s="338"/>
      <c r="K71" s="182"/>
      <c r="L71" s="182"/>
      <c r="M71" s="197">
        <f>M69-M70</f>
        <v>3889200</v>
      </c>
    </row>
    <row r="72" spans="1:14" ht="15" customHeight="1" x14ac:dyDescent="0.3">
      <c r="A72" s="198"/>
      <c r="B72" s="199" t="s">
        <v>186</v>
      </c>
      <c r="C72" s="200"/>
      <c r="D72" s="200"/>
      <c r="E72" s="200"/>
      <c r="F72" s="200"/>
      <c r="G72" s="200"/>
      <c r="H72" s="200"/>
      <c r="I72" s="200"/>
      <c r="K72" s="201" t="s">
        <v>187</v>
      </c>
      <c r="L72" s="182"/>
      <c r="M72" s="182">
        <f>112500+(M71-1000000)*0.3</f>
        <v>979260</v>
      </c>
    </row>
    <row r="73" spans="1:14" ht="15" customHeight="1" x14ac:dyDescent="0.3">
      <c r="A73" s="198"/>
      <c r="B73" s="199" t="s">
        <v>188</v>
      </c>
      <c r="C73" s="200"/>
      <c r="D73" s="200"/>
      <c r="E73" s="200"/>
      <c r="F73" s="200"/>
      <c r="G73" s="200"/>
      <c r="H73" s="200"/>
      <c r="I73" s="200"/>
      <c r="K73" s="201" t="s">
        <v>189</v>
      </c>
      <c r="L73" s="202"/>
      <c r="M73" s="182"/>
    </row>
    <row r="74" spans="1:14" ht="15" customHeight="1" x14ac:dyDescent="0.3">
      <c r="A74" s="198"/>
      <c r="B74" s="199" t="s">
        <v>190</v>
      </c>
      <c r="C74" s="200"/>
      <c r="D74" s="200"/>
      <c r="E74" s="200"/>
      <c r="F74" s="200"/>
      <c r="G74" s="200"/>
      <c r="H74" s="200"/>
      <c r="I74" s="200"/>
      <c r="K74" s="201" t="s">
        <v>191</v>
      </c>
      <c r="L74" s="202">
        <v>0.04</v>
      </c>
      <c r="M74" s="182">
        <f>ROUND((M73+M72)*0.04,0)</f>
        <v>39170</v>
      </c>
    </row>
    <row r="75" spans="1:14" ht="15" customHeight="1" thickBot="1" x14ac:dyDescent="0.35">
      <c r="A75" s="198"/>
      <c r="B75" s="199"/>
      <c r="C75" s="200"/>
      <c r="D75" s="200"/>
      <c r="E75" s="200"/>
      <c r="F75" s="200"/>
      <c r="G75" s="200"/>
      <c r="H75" s="200"/>
      <c r="I75" s="200"/>
      <c r="K75" s="182"/>
      <c r="L75" s="182"/>
      <c r="M75" s="203">
        <f>SUM(M72:M74)</f>
        <v>1018430</v>
      </c>
    </row>
    <row r="76" spans="1:14" ht="15" customHeight="1" thickTop="1" x14ac:dyDescent="0.25">
      <c r="A76" s="204"/>
      <c r="B76" s="205" t="s">
        <v>192</v>
      </c>
      <c r="C76" s="206"/>
      <c r="D76" s="206"/>
      <c r="E76" s="206"/>
      <c r="F76" s="207"/>
      <c r="G76" s="206"/>
      <c r="H76" s="208"/>
      <c r="I76" s="200"/>
    </row>
    <row r="77" spans="1:14" ht="15" customHeight="1" x14ac:dyDescent="0.25">
      <c r="A77" s="204"/>
      <c r="B77" s="209" t="s">
        <v>193</v>
      </c>
      <c r="C77" s="206"/>
      <c r="D77" s="206"/>
      <c r="E77" s="206"/>
      <c r="F77" s="210" t="s">
        <v>194</v>
      </c>
      <c r="G77" s="211"/>
      <c r="H77" s="212"/>
      <c r="I77" s="330">
        <v>1196800</v>
      </c>
      <c r="J77" s="330"/>
      <c r="K77" s="25" t="s">
        <v>195</v>
      </c>
      <c r="L77" s="77">
        <v>1870000</v>
      </c>
    </row>
    <row r="78" spans="1:14" ht="15" customHeight="1" x14ac:dyDescent="0.25">
      <c r="A78" s="204"/>
      <c r="B78" s="209" t="s">
        <v>196</v>
      </c>
      <c r="C78" s="206"/>
      <c r="D78" s="206"/>
      <c r="E78" s="206"/>
      <c r="F78" s="210" t="s">
        <v>197</v>
      </c>
      <c r="G78" s="211"/>
      <c r="H78" s="212"/>
      <c r="I78" s="330">
        <v>1575000</v>
      </c>
      <c r="J78" s="330"/>
      <c r="K78" s="25" t="s">
        <v>198</v>
      </c>
      <c r="L78" s="97">
        <v>1196800</v>
      </c>
    </row>
    <row r="79" spans="1:14" ht="15" customHeight="1" x14ac:dyDescent="0.25">
      <c r="A79" s="213"/>
      <c r="B79" s="209" t="s">
        <v>199</v>
      </c>
      <c r="C79" s="38"/>
      <c r="D79" s="38"/>
      <c r="E79" s="38"/>
      <c r="F79" s="214" t="s">
        <v>200</v>
      </c>
      <c r="G79" s="214"/>
      <c r="H79" s="212"/>
      <c r="I79" s="330">
        <v>1575000</v>
      </c>
      <c r="J79" s="330"/>
      <c r="K79" s="25" t="s">
        <v>201</v>
      </c>
      <c r="L79" s="97">
        <v>1575000</v>
      </c>
    </row>
    <row r="80" spans="1:14" ht="15" customHeight="1" x14ac:dyDescent="0.25">
      <c r="A80" s="213"/>
      <c r="B80" s="209" t="s">
        <v>202</v>
      </c>
      <c r="C80" s="38"/>
      <c r="D80" s="38"/>
      <c r="E80" s="38"/>
      <c r="F80" s="214" t="s">
        <v>203</v>
      </c>
      <c r="G80" s="214"/>
      <c r="H80" s="212"/>
      <c r="I80" s="329">
        <f>L77-L79</f>
        <v>295000</v>
      </c>
      <c r="J80" s="329"/>
      <c r="L80" s="97"/>
    </row>
    <row r="81" spans="1:13" ht="15" customHeight="1" x14ac:dyDescent="0.25">
      <c r="A81" s="213"/>
      <c r="B81" s="38"/>
      <c r="C81" s="38"/>
      <c r="D81" s="38"/>
      <c r="E81" s="38"/>
      <c r="F81" s="38"/>
      <c r="G81" s="38"/>
      <c r="L81" s="97"/>
    </row>
    <row r="82" spans="1:13" ht="15" customHeight="1" x14ac:dyDescent="0.3">
      <c r="C82" s="216"/>
      <c r="D82" s="20"/>
      <c r="E82" s="20"/>
      <c r="F82" s="20"/>
      <c r="G82" s="20"/>
      <c r="H82" s="20"/>
      <c r="L82" s="217"/>
      <c r="M82" s="217"/>
    </row>
    <row r="83" spans="1:13" ht="15" customHeight="1" x14ac:dyDescent="0.3">
      <c r="B83" s="209" t="s">
        <v>193</v>
      </c>
      <c r="C83" s="216"/>
      <c r="D83" s="20"/>
      <c r="E83" s="20"/>
      <c r="F83" s="210" t="s">
        <v>204</v>
      </c>
      <c r="G83" s="211"/>
      <c r="H83" s="212"/>
      <c r="I83" s="330">
        <f>+L84</f>
        <v>216600</v>
      </c>
      <c r="J83" s="330"/>
      <c r="K83" s="25" t="s">
        <v>195</v>
      </c>
      <c r="L83" s="77">
        <v>3800000</v>
      </c>
    </row>
    <row r="84" spans="1:13" ht="15" customHeight="1" x14ac:dyDescent="0.3">
      <c r="B84" s="209" t="s">
        <v>196</v>
      </c>
      <c r="C84" s="216"/>
      <c r="D84" s="20"/>
      <c r="E84" s="20"/>
      <c r="F84" s="210" t="s">
        <v>205</v>
      </c>
      <c r="G84" s="211"/>
      <c r="H84" s="212"/>
      <c r="I84" s="330">
        <v>3310000</v>
      </c>
      <c r="J84" s="330"/>
      <c r="K84" s="25" t="s">
        <v>198</v>
      </c>
      <c r="L84" s="97">
        <v>216600</v>
      </c>
    </row>
    <row r="85" spans="1:13" ht="15" customHeight="1" x14ac:dyDescent="0.25">
      <c r="B85" s="209" t="s">
        <v>199</v>
      </c>
      <c r="C85" s="20"/>
      <c r="D85" s="20"/>
      <c r="E85" s="20"/>
      <c r="F85" s="214" t="s">
        <v>206</v>
      </c>
      <c r="G85" s="214"/>
      <c r="H85" s="212"/>
      <c r="I85" s="330">
        <v>3310000</v>
      </c>
      <c r="J85" s="330"/>
      <c r="K85" s="25" t="s">
        <v>201</v>
      </c>
      <c r="L85" s="97">
        <v>3310000</v>
      </c>
    </row>
    <row r="86" spans="1:13" ht="15" customHeight="1" x14ac:dyDescent="0.25">
      <c r="B86" s="209" t="s">
        <v>202</v>
      </c>
      <c r="F86" s="214" t="s">
        <v>207</v>
      </c>
      <c r="G86" s="214"/>
      <c r="H86" s="212"/>
      <c r="I86" s="329">
        <f>L83-L85</f>
        <v>490000</v>
      </c>
      <c r="J86" s="329"/>
      <c r="L86" s="97"/>
    </row>
    <row r="87" spans="1:13" ht="15" customHeight="1" x14ac:dyDescent="0.25">
      <c r="L87" s="97"/>
    </row>
    <row r="88" spans="1:13" ht="15" customHeight="1" x14ac:dyDescent="0.25">
      <c r="C88" s="218"/>
      <c r="F88" s="219"/>
      <c r="G88" s="220"/>
      <c r="H88" s="220"/>
      <c r="K88" s="221" t="s">
        <v>208</v>
      </c>
      <c r="L88" s="97"/>
    </row>
    <row r="89" spans="1:13" ht="15" customHeight="1" x14ac:dyDescent="0.25">
      <c r="B89" s="207" t="s">
        <v>209</v>
      </c>
      <c r="C89" s="44" t="s">
        <v>210</v>
      </c>
      <c r="F89" s="121"/>
      <c r="G89" s="121"/>
      <c r="H89" s="222"/>
      <c r="K89" s="10" t="s">
        <v>8</v>
      </c>
      <c r="L89" s="97"/>
    </row>
    <row r="90" spans="1:13" ht="15" customHeight="1" x14ac:dyDescent="0.25">
      <c r="B90" s="207" t="s">
        <v>211</v>
      </c>
      <c r="C90" s="223" t="s">
        <v>212</v>
      </c>
      <c r="F90" s="45"/>
      <c r="G90" s="45"/>
      <c r="H90" s="9"/>
      <c r="K90" s="10" t="s">
        <v>213</v>
      </c>
    </row>
    <row r="91" spans="1:13" ht="15" customHeight="1" x14ac:dyDescent="0.25">
      <c r="B91" s="224" t="s">
        <v>214</v>
      </c>
      <c r="C91" s="223" t="s">
        <v>215</v>
      </c>
      <c r="F91" s="45"/>
      <c r="G91" s="45"/>
      <c r="H91" s="9"/>
      <c r="K91" s="225" t="s">
        <v>216</v>
      </c>
    </row>
    <row r="92" spans="1:13" ht="15" customHeight="1" x14ac:dyDescent="0.25">
      <c r="B92" s="224" t="s">
        <v>217</v>
      </c>
      <c r="C92" s="223" t="s">
        <v>218</v>
      </c>
      <c r="H92" s="9"/>
      <c r="K92" s="225" t="s">
        <v>219</v>
      </c>
    </row>
    <row r="93" spans="1:13" ht="15" customHeight="1" x14ac:dyDescent="0.25">
      <c r="B93" s="2"/>
      <c r="C93" s="144"/>
      <c r="D93" s="144"/>
      <c r="E93" s="2"/>
      <c r="G93" s="137"/>
      <c r="H93" s="9"/>
      <c r="K93" s="83" t="s">
        <v>220</v>
      </c>
    </row>
    <row r="94" spans="1:13" ht="15" customHeight="1" x14ac:dyDescent="0.25">
      <c r="B94" s="9"/>
      <c r="C94" s="9"/>
      <c r="D94" s="9"/>
      <c r="E94" s="9"/>
      <c r="K94" s="83" t="s">
        <v>221</v>
      </c>
    </row>
    <row r="95" spans="1:13" ht="15" customHeight="1" x14ac:dyDescent="0.25">
      <c r="E95" s="226"/>
      <c r="F95" s="20"/>
      <c r="K95" s="225" t="s">
        <v>222</v>
      </c>
    </row>
    <row r="96" spans="1:13" ht="15" customHeight="1" x14ac:dyDescent="0.25">
      <c r="F96" s="227"/>
      <c r="K96" s="228" t="s">
        <v>223</v>
      </c>
    </row>
    <row r="97" spans="1:14" ht="15" customHeight="1" x14ac:dyDescent="0.25">
      <c r="E97" s="9"/>
      <c r="K97" s="228" t="s">
        <v>224</v>
      </c>
    </row>
    <row r="98" spans="1:14" ht="15" customHeight="1" x14ac:dyDescent="0.25">
      <c r="F98" s="20"/>
      <c r="K98" s="225" t="s">
        <v>225</v>
      </c>
    </row>
    <row r="99" spans="1:14" ht="15" customHeight="1" x14ac:dyDescent="0.25">
      <c r="E99" s="9"/>
      <c r="F99" s="227"/>
      <c r="K99" s="83" t="s">
        <v>226</v>
      </c>
    </row>
    <row r="100" spans="1:14" ht="15" customHeight="1" x14ac:dyDescent="0.25">
      <c r="K100" s="83" t="s">
        <v>227</v>
      </c>
    </row>
    <row r="101" spans="1:14" ht="15" customHeight="1" x14ac:dyDescent="0.25">
      <c r="K101" s="73" t="s">
        <v>228</v>
      </c>
    </row>
    <row r="103" spans="1:14" ht="15" customHeight="1" x14ac:dyDescent="0.25">
      <c r="B103" s="229" t="s">
        <v>229</v>
      </c>
      <c r="C103" s="230"/>
      <c r="D103" s="230"/>
      <c r="E103" s="230"/>
      <c r="F103" s="230"/>
      <c r="G103" s="231" t="s">
        <v>230</v>
      </c>
      <c r="H103" s="232">
        <f>+H115+H127+H137</f>
        <v>404030</v>
      </c>
      <c r="K103" s="25" t="s">
        <v>231</v>
      </c>
      <c r="L103" s="233">
        <v>0.1</v>
      </c>
      <c r="N103" s="234"/>
    </row>
    <row r="104" spans="1:14" ht="15" customHeight="1" x14ac:dyDescent="0.25">
      <c r="B104" s="235" t="s">
        <v>232</v>
      </c>
      <c r="C104" s="236"/>
      <c r="D104" s="236"/>
      <c r="E104" s="236"/>
      <c r="F104" s="236"/>
      <c r="G104" s="237"/>
      <c r="H104" s="238"/>
      <c r="K104" s="25" t="s">
        <v>233</v>
      </c>
      <c r="L104" s="233">
        <v>0.115</v>
      </c>
      <c r="M104" s="9"/>
      <c r="N104" s="234"/>
    </row>
    <row r="105" spans="1:14" ht="15" customHeight="1" x14ac:dyDescent="0.25">
      <c r="B105" s="239" t="s">
        <v>234</v>
      </c>
      <c r="C105" s="236"/>
      <c r="D105" s="236"/>
      <c r="E105" s="9">
        <f>H105-(490000*L105)</f>
        <v>3765407.1</v>
      </c>
      <c r="G105" s="240"/>
      <c r="H105" s="9">
        <f>+H61</f>
        <v>3824011.1</v>
      </c>
      <c r="K105" s="25" t="s">
        <v>235</v>
      </c>
      <c r="L105" s="233">
        <f>11.5%*1.04</f>
        <v>0.11960000000000001</v>
      </c>
    </row>
    <row r="106" spans="1:14" ht="15" customHeight="1" x14ac:dyDescent="0.25">
      <c r="B106" s="239" t="s">
        <v>236</v>
      </c>
      <c r="C106" s="236"/>
      <c r="D106" s="236"/>
      <c r="E106" s="9">
        <f>+H106</f>
        <v>-1018500</v>
      </c>
      <c r="G106" s="240"/>
      <c r="H106" s="9">
        <f>+G68*-1</f>
        <v>-1018500</v>
      </c>
    </row>
    <row r="107" spans="1:14" ht="15" customHeight="1" thickBot="1" x14ac:dyDescent="0.3">
      <c r="B107" s="239" t="s">
        <v>237</v>
      </c>
      <c r="C107" s="236"/>
      <c r="D107" s="236"/>
      <c r="E107" s="241">
        <f>SUM(E105:E106)</f>
        <v>2746907.1</v>
      </c>
      <c r="G107" s="240"/>
      <c r="H107" s="241">
        <f>SUM(H105:H106)</f>
        <v>2805511.1</v>
      </c>
    </row>
    <row r="108" spans="1:14" ht="15" customHeight="1" thickTop="1" x14ac:dyDescent="0.25">
      <c r="C108" s="236"/>
      <c r="D108" s="236"/>
      <c r="E108" s="9">
        <f>+E107</f>
        <v>2746907.1</v>
      </c>
      <c r="G108" s="242">
        <f>IF(G107&gt;10000,G107,0)</f>
        <v>0</v>
      </c>
      <c r="H108" s="9">
        <f>+H107</f>
        <v>2805511.1</v>
      </c>
    </row>
    <row r="109" spans="1:14" ht="19.8" customHeight="1" x14ac:dyDescent="0.25">
      <c r="B109" s="243" t="s">
        <v>238</v>
      </c>
      <c r="C109" s="244" t="s">
        <v>239</v>
      </c>
      <c r="D109" s="244" t="s">
        <v>240</v>
      </c>
      <c r="E109" s="244" t="s">
        <v>241</v>
      </c>
      <c r="F109" s="245" t="s">
        <v>242</v>
      </c>
      <c r="G109" s="246" t="s">
        <v>243</v>
      </c>
      <c r="H109" s="244" t="s">
        <v>244</v>
      </c>
    </row>
    <row r="110" spans="1:14" ht="15" customHeight="1" x14ac:dyDescent="0.25">
      <c r="A110" s="247">
        <v>1</v>
      </c>
      <c r="B110" s="248"/>
      <c r="C110" s="249"/>
      <c r="D110" s="248">
        <v>44362</v>
      </c>
      <c r="E110" s="240">
        <f>(E108*0.15)</f>
        <v>412036.065</v>
      </c>
      <c r="F110" s="240">
        <f>ROUNDDOWN(+E110,-2)</f>
        <v>412000</v>
      </c>
      <c r="G110" s="240">
        <f>(F110-C110)</f>
        <v>412000</v>
      </c>
      <c r="H110" s="250">
        <f>IF(G110&gt;0,G110*0.12/12*3,0)</f>
        <v>12360</v>
      </c>
      <c r="I110" s="331" t="s">
        <v>245</v>
      </c>
      <c r="J110" s="331"/>
      <c r="K110" s="251" t="s">
        <v>246</v>
      </c>
      <c r="M110" s="9"/>
    </row>
    <row r="111" spans="1:14" ht="15" customHeight="1" x14ac:dyDescent="0.25">
      <c r="A111" s="247">
        <v>2</v>
      </c>
      <c r="C111" s="249">
        <f>+G88</f>
        <v>0</v>
      </c>
      <c r="D111" s="248">
        <v>44454</v>
      </c>
      <c r="E111" s="240">
        <f>H108*0.45</f>
        <v>1262479.9950000001</v>
      </c>
      <c r="F111" s="240">
        <f>ROUNDDOWN(+E111,-2)</f>
        <v>1262400</v>
      </c>
      <c r="G111" s="240">
        <f>(F111-C111-C110)</f>
        <v>1262400</v>
      </c>
      <c r="H111" s="250">
        <f>IF(G111&gt;0,G111*0.12/12*3,0)</f>
        <v>37872</v>
      </c>
      <c r="J111" s="59" t="s">
        <v>247</v>
      </c>
      <c r="K111" s="252">
        <f>+H115</f>
        <v>136590</v>
      </c>
      <c r="L111" s="10">
        <f>L109-L110</f>
        <v>0</v>
      </c>
    </row>
    <row r="112" spans="1:14" ht="15" customHeight="1" x14ac:dyDescent="0.25">
      <c r="A112" s="247">
        <v>3</v>
      </c>
      <c r="B112" s="248">
        <v>44545</v>
      </c>
      <c r="C112" s="249">
        <v>118000</v>
      </c>
      <c r="D112" s="248">
        <v>44545</v>
      </c>
      <c r="E112" s="240">
        <f>H108*0.75</f>
        <v>2104133.3250000002</v>
      </c>
      <c r="F112" s="240">
        <f>ROUNDDOWN(+E112,-2)</f>
        <v>2104100</v>
      </c>
      <c r="G112" s="240">
        <f>(F112-(C110+C111+C112))</f>
        <v>1986100</v>
      </c>
      <c r="H112" s="250">
        <f>IF(G112&gt;0,G112*0.12/12*3,0)</f>
        <v>59583</v>
      </c>
      <c r="J112" s="59" t="s">
        <v>248</v>
      </c>
      <c r="K112" s="252">
        <f>+K111</f>
        <v>136590</v>
      </c>
    </row>
    <row r="113" spans="1:13" ht="15" customHeight="1" x14ac:dyDescent="0.25">
      <c r="A113" s="247">
        <v>4</v>
      </c>
      <c r="B113" s="248">
        <v>44610</v>
      </c>
      <c r="C113" s="249">
        <v>10000</v>
      </c>
      <c r="D113" s="248">
        <v>44635</v>
      </c>
      <c r="E113" s="240">
        <f>H108*1</f>
        <v>2805511.1</v>
      </c>
      <c r="F113" s="240">
        <f>ROUNDDOWN(+E113,-2)</f>
        <v>2805500</v>
      </c>
      <c r="G113" s="240">
        <f>(F113-(C110+C111+C112+C113))</f>
        <v>2677500</v>
      </c>
      <c r="H113" s="250">
        <f>IF(G113&gt;0,G113*0.12/12,0)</f>
        <v>26775</v>
      </c>
      <c r="J113" s="59" t="s">
        <v>249</v>
      </c>
      <c r="K113" s="252">
        <f>+K111</f>
        <v>136590</v>
      </c>
      <c r="L113" s="2"/>
    </row>
    <row r="114" spans="1:13" ht="15" customHeight="1" x14ac:dyDescent="0.25">
      <c r="A114" s="247">
        <v>5</v>
      </c>
      <c r="B114" s="248"/>
      <c r="C114" s="249"/>
      <c r="D114" s="248">
        <v>44651</v>
      </c>
      <c r="F114" s="253"/>
      <c r="G114" s="254"/>
      <c r="H114" s="252"/>
      <c r="M114" s="9"/>
    </row>
    <row r="115" spans="1:13" ht="15" customHeight="1" thickBot="1" x14ac:dyDescent="0.3">
      <c r="B115" s="236"/>
      <c r="C115" s="255">
        <f>SUM(C110:C114)</f>
        <v>128000</v>
      </c>
      <c r="D115" s="236"/>
      <c r="E115" s="236"/>
      <c r="F115" s="236"/>
      <c r="G115" s="236"/>
      <c r="H115" s="256">
        <f>SUM(H110:H114)</f>
        <v>136590</v>
      </c>
      <c r="J115" s="2"/>
    </row>
    <row r="116" spans="1:13" ht="15" customHeight="1" thickTop="1" thickBot="1" x14ac:dyDescent="0.3">
      <c r="A116" s="257"/>
      <c r="B116" s="258"/>
      <c r="C116" s="259"/>
      <c r="D116" s="258"/>
      <c r="E116" s="258"/>
      <c r="F116" s="258"/>
      <c r="G116" s="258"/>
      <c r="H116" s="258"/>
      <c r="J116" s="2"/>
    </row>
    <row r="117" spans="1:13" ht="15" customHeight="1" x14ac:dyDescent="0.25">
      <c r="B117" s="235" t="s">
        <v>250</v>
      </c>
      <c r="C117" s="260"/>
      <c r="D117" s="236"/>
      <c r="E117" s="236"/>
      <c r="F117" s="236"/>
      <c r="G117" s="236"/>
      <c r="H117" s="261" t="s">
        <v>244</v>
      </c>
      <c r="J117" s="2"/>
    </row>
    <row r="118" spans="1:13" ht="15" customHeight="1" x14ac:dyDescent="0.25">
      <c r="B118" s="239" t="s">
        <v>234</v>
      </c>
      <c r="C118" s="236"/>
      <c r="D118" s="236"/>
      <c r="E118" s="240">
        <f>+H105</f>
        <v>3824011.1</v>
      </c>
      <c r="F118" s="236"/>
      <c r="G118" s="262">
        <v>44652</v>
      </c>
      <c r="H118" s="250">
        <v>26744</v>
      </c>
      <c r="J118" s="2"/>
    </row>
    <row r="119" spans="1:13" ht="15" customHeight="1" x14ac:dyDescent="0.25">
      <c r="B119" s="263" t="s">
        <v>236</v>
      </c>
      <c r="C119" s="236"/>
      <c r="D119" s="236"/>
      <c r="E119" s="240">
        <f>+H106</f>
        <v>-1018500</v>
      </c>
      <c r="F119" s="236"/>
      <c r="G119" s="262">
        <v>44682</v>
      </c>
      <c r="H119" s="250">
        <f>+H118</f>
        <v>26744</v>
      </c>
      <c r="J119" s="2"/>
    </row>
    <row r="120" spans="1:13" ht="15" customHeight="1" thickBot="1" x14ac:dyDescent="0.3">
      <c r="B120" s="263"/>
      <c r="C120" s="236"/>
      <c r="D120" s="236"/>
      <c r="E120" s="264">
        <f>E118+E119</f>
        <v>2805511.1</v>
      </c>
      <c r="G120" s="262">
        <v>44713</v>
      </c>
      <c r="H120" s="250">
        <f t="shared" ref="H120:H124" si="0">+H119</f>
        <v>26744</v>
      </c>
      <c r="J120" s="2"/>
    </row>
    <row r="121" spans="1:13" ht="15" customHeight="1" thickTop="1" x14ac:dyDescent="0.25">
      <c r="F121" s="236"/>
      <c r="G121" s="262">
        <v>44743</v>
      </c>
      <c r="H121" s="250">
        <f t="shared" si="0"/>
        <v>26744</v>
      </c>
      <c r="J121" s="2"/>
    </row>
    <row r="122" spans="1:13" ht="15" customHeight="1" x14ac:dyDescent="0.25">
      <c r="B122" s="236" t="s">
        <v>251</v>
      </c>
      <c r="C122" s="260"/>
      <c r="D122" s="265">
        <v>0.9</v>
      </c>
      <c r="E122" s="266">
        <f>ROUND(E120*90%,0)</f>
        <v>2524960</v>
      </c>
      <c r="F122" s="236"/>
      <c r="G122" s="262">
        <v>44774</v>
      </c>
      <c r="H122" s="250">
        <f t="shared" si="0"/>
        <v>26744</v>
      </c>
      <c r="J122" s="2"/>
    </row>
    <row r="123" spans="1:13" ht="15" customHeight="1" x14ac:dyDescent="0.25">
      <c r="B123" s="236" t="s">
        <v>252</v>
      </c>
      <c r="C123" s="260"/>
      <c r="D123" s="236"/>
      <c r="E123" s="240">
        <f>ROUND(+C115,0)</f>
        <v>128000</v>
      </c>
      <c r="F123" s="236"/>
      <c r="G123" s="262">
        <v>44805</v>
      </c>
      <c r="H123" s="250">
        <f t="shared" si="0"/>
        <v>26744</v>
      </c>
      <c r="I123" s="325" t="s">
        <v>245</v>
      </c>
      <c r="J123" s="325"/>
      <c r="K123" s="122" t="s">
        <v>253</v>
      </c>
    </row>
    <row r="124" spans="1:13" ht="15" customHeight="1" x14ac:dyDescent="0.25">
      <c r="B124" s="10" t="s">
        <v>254</v>
      </c>
      <c r="C124" s="260"/>
      <c r="D124" s="236"/>
      <c r="E124" s="240">
        <f>E120-E123</f>
        <v>2677511.1</v>
      </c>
      <c r="F124" s="240">
        <f>ROUNDDOWN(E124,-2)</f>
        <v>2677500</v>
      </c>
      <c r="G124" s="262">
        <v>44835</v>
      </c>
      <c r="H124" s="250">
        <f t="shared" si="0"/>
        <v>26744</v>
      </c>
      <c r="J124" s="77" t="s">
        <v>247</v>
      </c>
      <c r="K124" s="267">
        <f>+H127</f>
        <v>187208</v>
      </c>
    </row>
    <row r="125" spans="1:13" ht="15" customHeight="1" x14ac:dyDescent="0.25">
      <c r="B125" s="215"/>
      <c r="C125" s="236" t="s">
        <v>255</v>
      </c>
      <c r="D125" s="236"/>
      <c r="E125" s="268">
        <f>+G77</f>
        <v>0</v>
      </c>
      <c r="F125" s="236"/>
      <c r="G125" s="262">
        <v>44866</v>
      </c>
      <c r="J125" s="77" t="s">
        <v>248</v>
      </c>
      <c r="K125" s="267">
        <f>+K124+H119</f>
        <v>213952</v>
      </c>
    </row>
    <row r="126" spans="1:13" ht="15" customHeight="1" x14ac:dyDescent="0.25">
      <c r="C126" s="19" t="s">
        <v>256</v>
      </c>
      <c r="E126" s="268"/>
      <c r="F126" s="236"/>
      <c r="G126" s="262">
        <v>44896</v>
      </c>
      <c r="H126" s="269"/>
      <c r="J126" s="77" t="s">
        <v>249</v>
      </c>
      <c r="K126" s="267">
        <f>+K125+H119</f>
        <v>240696</v>
      </c>
    </row>
    <row r="127" spans="1:13" ht="15" customHeight="1" thickBot="1" x14ac:dyDescent="0.3">
      <c r="C127" s="239" t="s">
        <v>257</v>
      </c>
      <c r="E127" s="270">
        <f>+E124</f>
        <v>2677511.1</v>
      </c>
      <c r="F127" s="236"/>
      <c r="G127" s="236"/>
      <c r="H127" s="256">
        <f>SUM(H118:H126)</f>
        <v>187208</v>
      </c>
      <c r="J127" s="2"/>
    </row>
    <row r="128" spans="1:13" ht="15" customHeight="1" thickTop="1" x14ac:dyDescent="0.25">
      <c r="B128" s="10" t="s">
        <v>258</v>
      </c>
      <c r="C128" s="239"/>
      <c r="E128" s="271">
        <f>E124-E125</f>
        <v>2677511.1</v>
      </c>
      <c r="F128" s="240">
        <f>ROUNDDOWN(E128,-2)</f>
        <v>2677500</v>
      </c>
      <c r="G128" s="236"/>
      <c r="H128" s="269"/>
      <c r="J128" s="2"/>
    </row>
    <row r="129" spans="1:12" ht="15" customHeight="1" thickBot="1" x14ac:dyDescent="0.3">
      <c r="A129" s="257"/>
      <c r="B129" s="272"/>
      <c r="C129" s="273"/>
      <c r="D129" s="272"/>
      <c r="E129" s="274"/>
      <c r="F129" s="275"/>
      <c r="G129" s="258"/>
      <c r="H129" s="276"/>
      <c r="J129" s="2"/>
    </row>
    <row r="130" spans="1:12" ht="15" customHeight="1" x14ac:dyDescent="0.25">
      <c r="B130" s="235" t="s">
        <v>259</v>
      </c>
      <c r="C130" s="277"/>
      <c r="D130" s="277"/>
      <c r="E130" s="277"/>
      <c r="F130" s="277"/>
      <c r="G130" s="277"/>
      <c r="H130" s="277"/>
      <c r="I130" s="277"/>
      <c r="J130" s="269"/>
    </row>
    <row r="131" spans="1:12" ht="15" customHeight="1" x14ac:dyDescent="0.25">
      <c r="B131" s="239" t="s">
        <v>234</v>
      </c>
      <c r="C131" s="236"/>
      <c r="D131" s="236"/>
      <c r="E131" s="240">
        <f>+E118</f>
        <v>3824011.1</v>
      </c>
      <c r="F131" s="277"/>
      <c r="G131" s="236"/>
      <c r="H131" s="261" t="s">
        <v>244</v>
      </c>
      <c r="I131" s="277"/>
      <c r="J131" s="269"/>
    </row>
    <row r="132" spans="1:12" ht="15" customHeight="1" x14ac:dyDescent="0.25">
      <c r="B132" s="263" t="s">
        <v>236</v>
      </c>
      <c r="C132" s="236"/>
      <c r="D132" s="236"/>
      <c r="E132" s="240">
        <f>+E119</f>
        <v>-1018500</v>
      </c>
      <c r="F132" s="277"/>
      <c r="G132" s="262">
        <v>44774</v>
      </c>
      <c r="H132" s="250">
        <v>26744</v>
      </c>
      <c r="I132" s="277"/>
      <c r="J132" s="269"/>
    </row>
    <row r="133" spans="1:12" ht="15" customHeight="1" x14ac:dyDescent="0.25">
      <c r="B133" s="263" t="s">
        <v>260</v>
      </c>
      <c r="C133" s="236"/>
      <c r="D133" s="236"/>
      <c r="E133" s="271">
        <v>-128000</v>
      </c>
      <c r="F133" s="277"/>
      <c r="G133" s="262">
        <v>44805</v>
      </c>
      <c r="H133" s="250">
        <f>+H132</f>
        <v>26744</v>
      </c>
      <c r="I133" s="326" t="s">
        <v>245</v>
      </c>
      <c r="J133" s="326"/>
      <c r="K133" s="278" t="s">
        <v>261</v>
      </c>
    </row>
    <row r="134" spans="1:12" ht="15" customHeight="1" x14ac:dyDescent="0.25">
      <c r="B134" s="263" t="s">
        <v>262</v>
      </c>
      <c r="C134" s="236"/>
      <c r="D134" s="236"/>
      <c r="E134" s="51"/>
      <c r="F134" s="277"/>
      <c r="G134" s="262">
        <v>44835</v>
      </c>
      <c r="H134" s="250">
        <f>+H133</f>
        <v>26744</v>
      </c>
      <c r="I134" s="277"/>
      <c r="J134" s="279" t="s">
        <v>247</v>
      </c>
      <c r="K134" s="280">
        <f>SUM(H132:H134)</f>
        <v>80232</v>
      </c>
    </row>
    <row r="135" spans="1:12" ht="15" customHeight="1" x14ac:dyDescent="0.25">
      <c r="B135" s="263"/>
      <c r="C135" s="236"/>
      <c r="D135" s="236"/>
      <c r="E135" s="51"/>
      <c r="F135" s="277"/>
      <c r="G135" s="262">
        <v>44866</v>
      </c>
      <c r="H135" s="250"/>
      <c r="I135" s="277"/>
      <c r="J135" s="279" t="s">
        <v>248</v>
      </c>
      <c r="K135" s="280">
        <f>K134+H133</f>
        <v>106976</v>
      </c>
    </row>
    <row r="136" spans="1:12" ht="15" customHeight="1" x14ac:dyDescent="0.25">
      <c r="B136" s="263"/>
      <c r="C136" s="236"/>
      <c r="D136" s="236"/>
      <c r="E136" s="9"/>
      <c r="F136" s="277"/>
      <c r="G136" s="262">
        <v>44896</v>
      </c>
      <c r="H136" s="250"/>
      <c r="I136" s="277"/>
      <c r="J136" s="279" t="s">
        <v>249</v>
      </c>
      <c r="K136" s="280">
        <f>K135+H134</f>
        <v>133720</v>
      </c>
    </row>
    <row r="137" spans="1:12" ht="15" customHeight="1" thickBot="1" x14ac:dyDescent="0.3">
      <c r="E137" s="264">
        <f>SUM(E131:E136)</f>
        <v>2677511.1</v>
      </c>
      <c r="F137" s="277"/>
      <c r="G137" s="281"/>
      <c r="H137" s="256">
        <f>SUM(H132:H136)</f>
        <v>80232</v>
      </c>
      <c r="I137" s="277"/>
      <c r="J137" s="269"/>
    </row>
    <row r="138" spans="1:12" ht="15" customHeight="1" thickTop="1" x14ac:dyDescent="0.25">
      <c r="C138" s="236"/>
      <c r="D138" s="236"/>
      <c r="E138" s="240">
        <f>ROUNDDOWN(+E137,-2)</f>
        <v>2677500</v>
      </c>
      <c r="F138" s="240">
        <f>ROUNDDOWN(E138,-2)</f>
        <v>2677500</v>
      </c>
      <c r="G138" s="277"/>
      <c r="H138" s="277"/>
      <c r="I138" s="277"/>
      <c r="J138" s="269"/>
    </row>
    <row r="139" spans="1:12" ht="15" customHeight="1" thickBot="1" x14ac:dyDescent="0.3">
      <c r="C139" s="236"/>
      <c r="D139" s="236"/>
      <c r="E139" s="240"/>
      <c r="F139" s="277"/>
      <c r="G139" s="277"/>
      <c r="H139" s="277"/>
      <c r="I139" s="277"/>
      <c r="J139" s="269"/>
    </row>
    <row r="140" spans="1:12" s="38" customFormat="1" ht="15" customHeight="1" x14ac:dyDescent="0.25">
      <c r="A140" s="282" t="s">
        <v>263</v>
      </c>
      <c r="B140" s="283"/>
      <c r="C140" s="283"/>
      <c r="D140" s="283"/>
      <c r="E140" s="283"/>
      <c r="F140" s="283"/>
      <c r="G140" s="327" t="s">
        <v>264</v>
      </c>
      <c r="H140" s="328"/>
      <c r="J140" s="58"/>
      <c r="K140" s="284"/>
      <c r="L140" s="206"/>
    </row>
    <row r="141" spans="1:12" s="38" customFormat="1" ht="15" customHeight="1" x14ac:dyDescent="0.25">
      <c r="A141" s="285" t="s">
        <v>265</v>
      </c>
      <c r="H141" s="143"/>
      <c r="J141" s="58"/>
      <c r="K141" s="286"/>
      <c r="L141" s="206"/>
    </row>
    <row r="142" spans="1:12" s="38" customFormat="1" ht="15" customHeight="1" x14ac:dyDescent="0.25">
      <c r="A142" s="285" t="s">
        <v>266</v>
      </c>
      <c r="H142" s="143"/>
      <c r="J142" s="58"/>
      <c r="K142" s="286"/>
      <c r="L142" s="206"/>
    </row>
    <row r="143" spans="1:12" s="38" customFormat="1" ht="15" customHeight="1" x14ac:dyDescent="0.2">
      <c r="A143" s="287" t="s">
        <v>267</v>
      </c>
      <c r="B143" s="318" t="s">
        <v>268</v>
      </c>
      <c r="C143" s="318"/>
      <c r="D143" s="318"/>
      <c r="E143" s="318"/>
      <c r="F143" s="318"/>
      <c r="G143" s="318"/>
      <c r="H143" s="319"/>
      <c r="I143" s="20"/>
      <c r="J143" s="58"/>
      <c r="K143" s="289" t="s">
        <v>269</v>
      </c>
      <c r="L143" s="206"/>
    </row>
    <row r="144" spans="1:12" s="38" customFormat="1" ht="26.25" customHeight="1" x14ac:dyDescent="0.2">
      <c r="A144" s="287" t="s">
        <v>270</v>
      </c>
      <c r="B144" s="318" t="s">
        <v>271</v>
      </c>
      <c r="C144" s="318"/>
      <c r="D144" s="318"/>
      <c r="E144" s="318"/>
      <c r="F144" s="318"/>
      <c r="G144" s="318"/>
      <c r="H144" s="319"/>
      <c r="I144" s="20"/>
      <c r="J144" s="58"/>
      <c r="K144" s="289" t="s">
        <v>272</v>
      </c>
      <c r="L144" s="206"/>
    </row>
    <row r="145" spans="1:12" s="38" customFormat="1" ht="26.25" customHeight="1" x14ac:dyDescent="0.2">
      <c r="A145" s="287" t="s">
        <v>273</v>
      </c>
      <c r="B145" s="318" t="s">
        <v>274</v>
      </c>
      <c r="C145" s="318"/>
      <c r="D145" s="318"/>
      <c r="E145" s="318"/>
      <c r="F145" s="318"/>
      <c r="G145" s="318"/>
      <c r="H145" s="319"/>
      <c r="I145" s="20"/>
      <c r="J145" s="58"/>
      <c r="K145" s="289" t="s">
        <v>275</v>
      </c>
      <c r="L145" s="206"/>
    </row>
    <row r="146" spans="1:12" s="38" customFormat="1" ht="26.25" customHeight="1" x14ac:dyDescent="0.2">
      <c r="A146" s="287" t="s">
        <v>276</v>
      </c>
      <c r="B146" s="318" t="s">
        <v>277</v>
      </c>
      <c r="C146" s="318"/>
      <c r="D146" s="318"/>
      <c r="E146" s="318"/>
      <c r="F146" s="318"/>
      <c r="G146" s="318"/>
      <c r="H146" s="319"/>
      <c r="I146" s="20"/>
      <c r="J146" s="58"/>
      <c r="K146" s="289" t="s">
        <v>278</v>
      </c>
      <c r="L146" s="206"/>
    </row>
    <row r="147" spans="1:12" s="38" customFormat="1" ht="15" customHeight="1" x14ac:dyDescent="0.2">
      <c r="A147" s="287" t="s">
        <v>279</v>
      </c>
      <c r="B147" s="318" t="s">
        <v>280</v>
      </c>
      <c r="C147" s="318"/>
      <c r="D147" s="318"/>
      <c r="E147" s="318"/>
      <c r="F147" s="318"/>
      <c r="G147" s="318"/>
      <c r="H147" s="319"/>
      <c r="I147" s="20"/>
      <c r="J147" s="58"/>
      <c r="K147" s="289" t="s">
        <v>281</v>
      </c>
      <c r="L147" s="206"/>
    </row>
    <row r="148" spans="1:12" s="38" customFormat="1" ht="15" customHeight="1" x14ac:dyDescent="0.2">
      <c r="A148" s="287" t="s">
        <v>282</v>
      </c>
      <c r="B148" s="318" t="s">
        <v>283</v>
      </c>
      <c r="C148" s="318"/>
      <c r="D148" s="318"/>
      <c r="E148" s="318"/>
      <c r="F148" s="318"/>
      <c r="G148" s="318"/>
      <c r="H148" s="319"/>
      <c r="I148" s="20"/>
      <c r="J148" s="58"/>
      <c r="K148" s="289" t="s">
        <v>284</v>
      </c>
      <c r="L148" s="206"/>
    </row>
    <row r="149" spans="1:12" s="38" customFormat="1" ht="25.5" customHeight="1" x14ac:dyDescent="0.2">
      <c r="A149" s="290"/>
      <c r="B149" s="320" t="s">
        <v>285</v>
      </c>
      <c r="C149" s="320"/>
      <c r="D149" s="320"/>
      <c r="E149" s="320"/>
      <c r="F149" s="320"/>
      <c r="G149" s="320"/>
      <c r="H149" s="321"/>
      <c r="J149" s="58"/>
    </row>
    <row r="150" spans="1:12" s="38" customFormat="1" ht="15" customHeight="1" thickBot="1" x14ac:dyDescent="0.25">
      <c r="A150" s="291"/>
      <c r="B150" s="322" t="s">
        <v>286</v>
      </c>
      <c r="C150" s="322"/>
      <c r="D150" s="322"/>
      <c r="E150" s="322"/>
      <c r="F150" s="322"/>
      <c r="G150" s="322"/>
      <c r="H150" s="292"/>
      <c r="J150" s="58"/>
    </row>
    <row r="151" spans="1:12" s="38" customFormat="1" ht="15" customHeight="1" thickBot="1" x14ac:dyDescent="0.25">
      <c r="A151" s="213"/>
      <c r="B151" s="288"/>
      <c r="C151" s="288"/>
      <c r="D151" s="288"/>
      <c r="E151" s="288"/>
      <c r="F151" s="288"/>
      <c r="G151" s="288"/>
      <c r="J151" s="58"/>
    </row>
    <row r="152" spans="1:12" s="38" customFormat="1" ht="15" customHeight="1" x14ac:dyDescent="0.25">
      <c r="A152" s="282" t="s">
        <v>263</v>
      </c>
      <c r="B152" s="293"/>
      <c r="C152" s="293"/>
      <c r="D152" s="293"/>
      <c r="E152" s="293"/>
      <c r="F152" s="293"/>
      <c r="G152" s="323" t="s">
        <v>287</v>
      </c>
      <c r="H152" s="324"/>
      <c r="J152" s="58"/>
    </row>
    <row r="153" spans="1:12" ht="15" customHeight="1" x14ac:dyDescent="0.25">
      <c r="A153" s="285" t="s">
        <v>288</v>
      </c>
      <c r="C153" s="294"/>
      <c r="D153" s="294"/>
      <c r="E153" s="294"/>
      <c r="F153" s="295"/>
      <c r="G153" s="296"/>
      <c r="H153" s="152"/>
      <c r="J153" s="58"/>
    </row>
    <row r="154" spans="1:12" ht="15" customHeight="1" x14ac:dyDescent="0.25">
      <c r="A154" s="285" t="s">
        <v>289</v>
      </c>
      <c r="C154" s="294"/>
      <c r="D154" s="294"/>
      <c r="E154" s="294"/>
      <c r="F154" s="295"/>
      <c r="G154" s="296"/>
      <c r="H154" s="152"/>
      <c r="J154" s="58"/>
    </row>
    <row r="155" spans="1:12" ht="15" customHeight="1" x14ac:dyDescent="0.25">
      <c r="A155" s="18"/>
      <c r="B155" s="297" t="s">
        <v>290</v>
      </c>
      <c r="D155" s="297" t="s">
        <v>291</v>
      </c>
      <c r="F155" s="295"/>
      <c r="G155" s="296"/>
      <c r="H155" s="152"/>
      <c r="J155" s="58"/>
    </row>
    <row r="156" spans="1:12" ht="15" customHeight="1" x14ac:dyDescent="0.25">
      <c r="A156" s="18"/>
      <c r="B156" s="297" t="s">
        <v>292</v>
      </c>
      <c r="D156" s="297" t="s">
        <v>293</v>
      </c>
      <c r="F156" s="295"/>
      <c r="G156" s="296"/>
      <c r="H156" s="152"/>
      <c r="J156" s="58"/>
    </row>
    <row r="157" spans="1:12" ht="15" customHeight="1" x14ac:dyDescent="0.25">
      <c r="A157" s="18"/>
      <c r="B157" s="297" t="s">
        <v>294</v>
      </c>
      <c r="D157" s="297" t="s">
        <v>295</v>
      </c>
      <c r="F157" s="295"/>
      <c r="G157" s="296"/>
      <c r="H157" s="152"/>
      <c r="J157" s="58"/>
    </row>
    <row r="158" spans="1:12" ht="15" customHeight="1" x14ac:dyDescent="0.25">
      <c r="A158" s="18"/>
      <c r="B158" s="298" t="s">
        <v>296</v>
      </c>
      <c r="D158" s="297" t="s">
        <v>297</v>
      </c>
      <c r="F158" s="295"/>
      <c r="G158" s="296"/>
      <c r="H158" s="152"/>
      <c r="J158" s="58"/>
    </row>
    <row r="159" spans="1:12" ht="15" customHeight="1" x14ac:dyDescent="0.25">
      <c r="A159" s="18"/>
      <c r="B159" s="297" t="s">
        <v>298</v>
      </c>
      <c r="D159" s="297" t="s">
        <v>299</v>
      </c>
      <c r="F159" s="295"/>
      <c r="G159" s="296"/>
      <c r="H159" s="152"/>
      <c r="J159" s="58"/>
    </row>
    <row r="160" spans="1:12" ht="15" customHeight="1" x14ac:dyDescent="0.25">
      <c r="A160" s="18"/>
      <c r="B160" s="297" t="s">
        <v>300</v>
      </c>
      <c r="D160" s="297" t="s">
        <v>301</v>
      </c>
      <c r="F160" s="295"/>
      <c r="G160" s="296"/>
      <c r="H160" s="152"/>
      <c r="J160" s="2"/>
    </row>
    <row r="161" spans="1:10" ht="15" customHeight="1" x14ac:dyDescent="0.25">
      <c r="A161" s="18"/>
      <c r="B161" s="298" t="s">
        <v>302</v>
      </c>
      <c r="D161" s="297" t="s">
        <v>303</v>
      </c>
      <c r="F161" s="295"/>
      <c r="G161" s="296"/>
      <c r="H161" s="152"/>
      <c r="J161" s="2"/>
    </row>
    <row r="162" spans="1:10" ht="15" customHeight="1" thickBot="1" x14ac:dyDescent="0.3">
      <c r="A162" s="299"/>
      <c r="B162" s="300" t="s">
        <v>304</v>
      </c>
      <c r="C162" s="272"/>
      <c r="D162" s="300" t="s">
        <v>305</v>
      </c>
      <c r="E162" s="272"/>
      <c r="F162" s="272"/>
      <c r="G162" s="272"/>
      <c r="H162" s="301"/>
      <c r="J162" s="2"/>
    </row>
    <row r="163" spans="1:10" ht="15" customHeight="1" thickBot="1" x14ac:dyDescent="0.3">
      <c r="J163" s="2"/>
    </row>
    <row r="164" spans="1:10" ht="15" customHeight="1" x14ac:dyDescent="0.25">
      <c r="B164" s="302" t="s">
        <v>306</v>
      </c>
      <c r="C164" s="303"/>
      <c r="D164" s="304"/>
      <c r="E164" s="305" t="s">
        <v>307</v>
      </c>
      <c r="F164" s="306"/>
      <c r="G164" s="305" t="s">
        <v>308</v>
      </c>
      <c r="H164" s="307"/>
      <c r="J164" s="2"/>
    </row>
    <row r="165" spans="1:10" ht="15" customHeight="1" x14ac:dyDescent="0.25">
      <c r="B165" s="308" t="s">
        <v>9</v>
      </c>
      <c r="C165" s="236"/>
      <c r="D165" s="261"/>
      <c r="E165" s="309" t="s">
        <v>309</v>
      </c>
      <c r="G165" s="309" t="s">
        <v>310</v>
      </c>
      <c r="H165" s="152"/>
      <c r="J165" s="2"/>
    </row>
    <row r="166" spans="1:10" ht="15" customHeight="1" x14ac:dyDescent="0.25">
      <c r="B166" s="308" t="s">
        <v>311</v>
      </c>
      <c r="C166" s="236"/>
      <c r="D166" s="261"/>
      <c r="E166" s="309" t="s">
        <v>312</v>
      </c>
      <c r="G166" s="309" t="s">
        <v>313</v>
      </c>
      <c r="H166" s="152"/>
      <c r="J166" s="2"/>
    </row>
    <row r="167" spans="1:10" ht="15" customHeight="1" x14ac:dyDescent="0.25">
      <c r="B167" s="308" t="s">
        <v>26</v>
      </c>
      <c r="C167" s="236"/>
      <c r="D167" s="261"/>
      <c r="E167" s="309" t="s">
        <v>314</v>
      </c>
      <c r="H167" s="152"/>
      <c r="J167" s="2"/>
    </row>
    <row r="168" spans="1:10" ht="15" customHeight="1" x14ac:dyDescent="0.25">
      <c r="B168" s="308" t="s">
        <v>315</v>
      </c>
      <c r="C168" s="236"/>
      <c r="D168" s="261"/>
      <c r="E168" s="309" t="s">
        <v>316</v>
      </c>
      <c r="H168" s="152"/>
      <c r="J168" s="2"/>
    </row>
    <row r="169" spans="1:10" ht="15" customHeight="1" x14ac:dyDescent="0.25">
      <c r="B169" s="308" t="s">
        <v>317</v>
      </c>
      <c r="C169" s="236"/>
      <c r="D169" s="261"/>
      <c r="H169" s="152"/>
      <c r="J169" s="2"/>
    </row>
    <row r="170" spans="1:10" ht="15" customHeight="1" x14ac:dyDescent="0.25">
      <c r="B170" s="308" t="s">
        <v>318</v>
      </c>
      <c r="C170" s="236"/>
      <c r="D170" s="261"/>
      <c r="H170" s="152"/>
      <c r="J170" s="2"/>
    </row>
    <row r="171" spans="1:10" ht="15" customHeight="1" x14ac:dyDescent="0.25">
      <c r="B171" s="308" t="s">
        <v>319</v>
      </c>
      <c r="C171" s="236"/>
      <c r="D171" s="310">
        <f>SUM(C165:C171)</f>
        <v>0</v>
      </c>
      <c r="H171" s="152"/>
      <c r="J171" s="2"/>
    </row>
    <row r="172" spans="1:10" ht="15" customHeight="1" x14ac:dyDescent="0.25">
      <c r="B172" s="311" t="s">
        <v>320</v>
      </c>
      <c r="C172" s="236"/>
      <c r="D172" s="294"/>
      <c r="E172" s="312"/>
      <c r="H172" s="152"/>
      <c r="J172" s="2"/>
    </row>
    <row r="173" spans="1:10" ht="15" customHeight="1" x14ac:dyDescent="0.25">
      <c r="B173" s="308" t="s">
        <v>321</v>
      </c>
      <c r="C173" s="313"/>
      <c r="D173" s="294"/>
      <c r="H173" s="152"/>
      <c r="J173" s="2"/>
    </row>
    <row r="174" spans="1:10" ht="15" customHeight="1" x14ac:dyDescent="0.25">
      <c r="B174" s="308" t="s">
        <v>322</v>
      </c>
      <c r="C174" s="313"/>
      <c r="D174" s="294"/>
      <c r="H174" s="152"/>
      <c r="J174" s="2"/>
    </row>
    <row r="175" spans="1:10" ht="15" customHeight="1" x14ac:dyDescent="0.25">
      <c r="B175" s="308" t="s">
        <v>323</v>
      </c>
      <c r="C175" s="313"/>
      <c r="D175" s="294">
        <f>SUM(C173:C175)</f>
        <v>0</v>
      </c>
      <c r="H175" s="152"/>
      <c r="J175" s="2"/>
    </row>
    <row r="176" spans="1:10" ht="15" customHeight="1" thickBot="1" x14ac:dyDescent="0.3">
      <c r="B176" s="314" t="s">
        <v>324</v>
      </c>
      <c r="C176" s="315"/>
      <c r="D176" s="316"/>
      <c r="E176" s="272"/>
      <c r="F176" s="272"/>
      <c r="G176" s="272"/>
      <c r="H176" s="301"/>
      <c r="J176" s="2"/>
    </row>
    <row r="177" spans="2:11" ht="15" customHeight="1" x14ac:dyDescent="0.25">
      <c r="B177" s="294"/>
      <c r="D177" s="317">
        <f>D171+D175+D176</f>
        <v>0</v>
      </c>
      <c r="J177" s="2"/>
    </row>
    <row r="178" spans="2:11" ht="15" customHeight="1" x14ac:dyDescent="0.25">
      <c r="F178" s="240"/>
      <c r="G178" s="240"/>
      <c r="H178" s="240"/>
      <c r="I178" s="250"/>
      <c r="J178" s="58"/>
      <c r="K178" s="45">
        <f>H178*0.03</f>
        <v>0</v>
      </c>
    </row>
    <row r="179" spans="2:11" ht="15" customHeight="1" x14ac:dyDescent="0.25">
      <c r="H179" s="9"/>
      <c r="K179" s="45"/>
    </row>
    <row r="181" spans="2:11" ht="15" customHeight="1" x14ac:dyDescent="0.25">
      <c r="H181" s="9"/>
    </row>
  </sheetData>
  <mergeCells count="36">
    <mergeCell ref="N17:O17"/>
    <mergeCell ref="C68:D68"/>
    <mergeCell ref="A1:C1"/>
    <mergeCell ref="D1:H1"/>
    <mergeCell ref="J1:L1"/>
    <mergeCell ref="A2:C2"/>
    <mergeCell ref="F2:G2"/>
    <mergeCell ref="K25:M25"/>
    <mergeCell ref="A26:F26"/>
    <mergeCell ref="K29:M29"/>
    <mergeCell ref="C66:D66"/>
    <mergeCell ref="C67:D67"/>
    <mergeCell ref="I110:J110"/>
    <mergeCell ref="A70:I70"/>
    <mergeCell ref="A71:B71"/>
    <mergeCell ref="F71:I71"/>
    <mergeCell ref="I77:J77"/>
    <mergeCell ref="I78:J78"/>
    <mergeCell ref="I79:J79"/>
    <mergeCell ref="I80:J80"/>
    <mergeCell ref="I83:J83"/>
    <mergeCell ref="I84:J84"/>
    <mergeCell ref="I85:J85"/>
    <mergeCell ref="I86:J86"/>
    <mergeCell ref="G152:H152"/>
    <mergeCell ref="I123:J123"/>
    <mergeCell ref="I133:J133"/>
    <mergeCell ref="G140:H140"/>
    <mergeCell ref="B143:H143"/>
    <mergeCell ref="B144:H144"/>
    <mergeCell ref="B145:H145"/>
    <mergeCell ref="B146:H146"/>
    <mergeCell ref="B147:H147"/>
    <mergeCell ref="B148:H148"/>
    <mergeCell ref="B149:H149"/>
    <mergeCell ref="B150:G150"/>
  </mergeCells>
  <conditionalFormatting sqref="F55">
    <cfRule type="expression" dxfId="1" priority="1" stopIfTrue="1">
      <formula>"""$E$55=0"""</formula>
    </cfRule>
  </conditionalFormatting>
  <printOptions horizontalCentered="1" verticalCentered="1"/>
  <pageMargins left="0.39370078740157483" right="0.19685039370078741" top="0.19685039370078741" bottom="0.19685039370078741" header="0" footer="0"/>
  <pageSetup paperSize="9"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6CEFE-717F-47DE-9CBF-AE970B581FD7}">
  <sheetPr>
    <pageSetUpPr fitToPage="1"/>
  </sheetPr>
  <dimension ref="A1:O181"/>
  <sheetViews>
    <sheetView showZeros="0" topLeftCell="A56" zoomScale="120" workbookViewId="0">
      <selection activeCell="H63" sqref="H63"/>
    </sheetView>
  </sheetViews>
  <sheetFormatPr defaultColWidth="9.109375" defaultRowHeight="15" customHeight="1" x14ac:dyDescent="0.25"/>
  <cols>
    <col min="1" max="1" width="4" style="215" customWidth="1"/>
    <col min="2" max="2" width="9.6640625" style="10" customWidth="1"/>
    <col min="3" max="3" width="10.6640625" style="10" customWidth="1"/>
    <col min="4" max="4" width="15.44140625" style="10" customWidth="1"/>
    <col min="5" max="5" width="15.88671875" style="10" customWidth="1"/>
    <col min="6" max="6" width="10.44140625" style="10" customWidth="1"/>
    <col min="7" max="7" width="10.6640625" style="10" customWidth="1"/>
    <col min="8" max="8" width="12.6640625" style="10" customWidth="1"/>
    <col min="9" max="9" width="3.44140625" style="10" customWidth="1"/>
    <col min="10" max="10" width="6.88671875" style="10" customWidth="1"/>
    <col min="11" max="11" width="29.88671875" style="10" customWidth="1"/>
    <col min="12" max="12" width="9.6640625" style="10" customWidth="1"/>
    <col min="13" max="13" width="11" style="10" customWidth="1"/>
    <col min="14" max="14" width="14.44140625" style="10" customWidth="1"/>
    <col min="15" max="15" width="6" style="10" customWidth="1"/>
    <col min="16" max="16384" width="9.109375" style="10"/>
  </cols>
  <sheetData>
    <row r="1" spans="1:15" s="4" customFormat="1" ht="14.25" customHeight="1" x14ac:dyDescent="0.3">
      <c r="A1" s="344" t="s">
        <v>0</v>
      </c>
      <c r="B1" s="345"/>
      <c r="C1" s="345"/>
      <c r="D1" s="346" t="s">
        <v>1</v>
      </c>
      <c r="E1" s="346"/>
      <c r="F1" s="346"/>
      <c r="G1" s="346"/>
      <c r="H1" s="346"/>
      <c r="I1" s="1"/>
      <c r="J1" s="347" t="s">
        <v>2</v>
      </c>
      <c r="K1" s="348"/>
      <c r="L1" s="348"/>
      <c r="M1" s="2" t="s">
        <v>3</v>
      </c>
      <c r="N1" s="3" t="s">
        <v>4</v>
      </c>
    </row>
    <row r="2" spans="1:15" ht="15" customHeight="1" thickBot="1" x14ac:dyDescent="0.3">
      <c r="A2" s="349" t="s">
        <v>5</v>
      </c>
      <c r="B2" s="350"/>
      <c r="C2" s="350"/>
      <c r="D2" s="5" t="s">
        <v>6</v>
      </c>
      <c r="E2" s="6" t="s">
        <v>7</v>
      </c>
      <c r="F2" s="351" t="s">
        <v>8</v>
      </c>
      <c r="G2" s="351"/>
      <c r="H2" s="7">
        <v>26538</v>
      </c>
      <c r="I2" s="8">
        <f>IF(H2&lt;21642,"Sr",0)</f>
        <v>0</v>
      </c>
      <c r="J2" s="2"/>
      <c r="K2" s="9" t="s">
        <v>9</v>
      </c>
      <c r="L2" s="10">
        <v>3000000</v>
      </c>
      <c r="N2" s="11">
        <v>44773</v>
      </c>
    </row>
    <row r="3" spans="1:15" ht="15" customHeight="1" x14ac:dyDescent="0.25">
      <c r="A3" s="12"/>
      <c r="B3" s="13" t="s">
        <v>10</v>
      </c>
      <c r="G3" s="14"/>
      <c r="H3" s="15" t="s">
        <v>11</v>
      </c>
      <c r="I3" s="16"/>
      <c r="K3" s="10" t="s">
        <v>12</v>
      </c>
      <c r="L3" s="10">
        <v>600000</v>
      </c>
      <c r="N3" s="17" t="s">
        <v>13</v>
      </c>
    </row>
    <row r="4" spans="1:15" ht="15" customHeight="1" x14ac:dyDescent="0.25">
      <c r="A4" s="18"/>
      <c r="B4" s="19" t="s">
        <v>14</v>
      </c>
      <c r="C4" s="20" t="s">
        <v>15</v>
      </c>
      <c r="G4" s="21">
        <f>+L10</f>
        <v>3682000</v>
      </c>
      <c r="H4" s="22"/>
      <c r="I4" s="23"/>
      <c r="K4" s="24" t="s">
        <v>16</v>
      </c>
      <c r="L4" s="24">
        <v>18000</v>
      </c>
      <c r="M4" s="25"/>
      <c r="N4" s="26">
        <v>44773</v>
      </c>
    </row>
    <row r="5" spans="1:15" ht="15" customHeight="1" x14ac:dyDescent="0.25">
      <c r="A5" s="18"/>
      <c r="B5" s="19" t="s">
        <v>17</v>
      </c>
      <c r="C5" s="20" t="s">
        <v>18</v>
      </c>
      <c r="G5" s="21">
        <f>+L11+L12</f>
        <v>559200</v>
      </c>
      <c r="H5" s="22"/>
      <c r="I5" s="23"/>
      <c r="J5" s="2"/>
      <c r="K5" s="24" t="s">
        <v>19</v>
      </c>
      <c r="L5" s="24">
        <v>20000</v>
      </c>
      <c r="N5" s="27" t="s">
        <v>20</v>
      </c>
    </row>
    <row r="6" spans="1:15" ht="15" customHeight="1" thickBot="1" x14ac:dyDescent="0.3">
      <c r="A6" s="18"/>
      <c r="B6" s="19" t="s">
        <v>21</v>
      </c>
      <c r="C6" s="20" t="s">
        <v>22</v>
      </c>
      <c r="G6" s="28"/>
      <c r="H6" s="22"/>
      <c r="I6" s="23"/>
      <c r="J6" s="2"/>
      <c r="K6" s="10" t="s">
        <v>23</v>
      </c>
      <c r="L6" s="10">
        <v>20000</v>
      </c>
      <c r="N6" s="29">
        <v>44835</v>
      </c>
    </row>
    <row r="7" spans="1:15" ht="15" customHeight="1" x14ac:dyDescent="0.25">
      <c r="A7" s="18"/>
      <c r="B7" s="13"/>
      <c r="C7" s="20"/>
      <c r="F7" s="30" t="s">
        <v>24</v>
      </c>
      <c r="G7" s="31">
        <f>G4+G5+G6</f>
        <v>4241200</v>
      </c>
      <c r="H7" s="22"/>
      <c r="I7" s="23"/>
      <c r="J7" s="32" t="s">
        <v>25</v>
      </c>
      <c r="K7" s="10" t="s">
        <v>26</v>
      </c>
      <c r="L7" s="10">
        <v>18000</v>
      </c>
      <c r="M7" s="10">
        <v>10000</v>
      </c>
      <c r="N7" s="33" t="s">
        <v>27</v>
      </c>
    </row>
    <row r="8" spans="1:15" ht="15" customHeight="1" x14ac:dyDescent="0.25">
      <c r="A8" s="18"/>
      <c r="B8" s="34" t="s">
        <v>28</v>
      </c>
      <c r="C8" s="20" t="s">
        <v>29</v>
      </c>
      <c r="G8" s="28">
        <f>M10+M11</f>
        <v>24000</v>
      </c>
      <c r="H8" s="22"/>
      <c r="I8" s="23"/>
      <c r="J8" s="32" t="s">
        <v>30</v>
      </c>
      <c r="K8" s="24" t="s">
        <v>31</v>
      </c>
      <c r="L8" s="24">
        <v>3600</v>
      </c>
      <c r="M8" s="10">
        <v>3600</v>
      </c>
      <c r="N8" s="35" t="s">
        <v>32</v>
      </c>
    </row>
    <row r="9" spans="1:15" ht="15" customHeight="1" thickBot="1" x14ac:dyDescent="0.3">
      <c r="A9" s="18"/>
      <c r="B9" s="13"/>
      <c r="F9" s="30" t="s">
        <v>33</v>
      </c>
      <c r="G9" s="36">
        <f>G7-G8</f>
        <v>4217200</v>
      </c>
      <c r="H9" s="22"/>
      <c r="I9" s="23"/>
      <c r="J9" s="32" t="s">
        <v>30</v>
      </c>
      <c r="K9" s="10" t="s">
        <v>34</v>
      </c>
      <c r="L9" s="10">
        <v>2400</v>
      </c>
      <c r="M9" s="10">
        <v>2400</v>
      </c>
      <c r="N9" s="37">
        <v>5000</v>
      </c>
    </row>
    <row r="10" spans="1:15" ht="15" customHeight="1" thickBot="1" x14ac:dyDescent="0.3">
      <c r="A10" s="18"/>
      <c r="B10" s="19" t="s">
        <v>35</v>
      </c>
      <c r="C10" s="38" t="s">
        <v>36</v>
      </c>
      <c r="G10" s="28">
        <v>50000</v>
      </c>
      <c r="H10" s="22">
        <f>G9-G10</f>
        <v>4167200</v>
      </c>
      <c r="I10" s="23"/>
      <c r="J10" s="2"/>
      <c r="L10" s="39">
        <f>SUM(L2:L9)</f>
        <v>3682000</v>
      </c>
      <c r="M10" s="39">
        <f>SUM(M2:M9)</f>
        <v>16000</v>
      </c>
    </row>
    <row r="11" spans="1:15" ht="18.75" customHeight="1" thickTop="1" x14ac:dyDescent="0.25">
      <c r="A11" s="18"/>
      <c r="B11" s="13" t="s">
        <v>37</v>
      </c>
      <c r="E11" s="40"/>
      <c r="G11" s="14"/>
      <c r="H11" s="22"/>
      <c r="I11" s="23"/>
      <c r="J11" s="32" t="s">
        <v>38</v>
      </c>
      <c r="K11" s="41" t="s">
        <v>39</v>
      </c>
      <c r="L11" s="42">
        <v>12000</v>
      </c>
      <c r="M11" s="42">
        <v>8000</v>
      </c>
    </row>
    <row r="12" spans="1:15" ht="12.75" customHeight="1" x14ac:dyDescent="0.25">
      <c r="A12" s="18"/>
      <c r="B12" s="43" t="s">
        <v>40</v>
      </c>
      <c r="C12" s="44" t="s">
        <v>41</v>
      </c>
      <c r="D12" s="20"/>
      <c r="E12" s="45"/>
      <c r="F12" s="2"/>
      <c r="G12" s="46">
        <f>+L13</f>
        <v>150000</v>
      </c>
      <c r="H12" s="47"/>
      <c r="I12" s="23"/>
      <c r="K12" s="42" t="s">
        <v>42</v>
      </c>
      <c r="L12" s="42">
        <v>547200</v>
      </c>
      <c r="M12" s="42"/>
    </row>
    <row r="13" spans="1:15" ht="15" customHeight="1" x14ac:dyDescent="0.25">
      <c r="A13" s="18"/>
      <c r="B13" s="19" t="s">
        <v>43</v>
      </c>
      <c r="C13" s="38" t="s">
        <v>44</v>
      </c>
      <c r="D13" s="20"/>
      <c r="E13" s="45"/>
      <c r="F13" s="2"/>
      <c r="G13" s="2"/>
      <c r="H13" s="47"/>
      <c r="I13" s="23"/>
      <c r="K13" s="48" t="s">
        <v>45</v>
      </c>
      <c r="L13" s="49">
        <v>150000</v>
      </c>
      <c r="M13" s="49"/>
    </row>
    <row r="14" spans="1:15" ht="15" customHeight="1" x14ac:dyDescent="0.25">
      <c r="A14" s="18"/>
      <c r="C14" s="44"/>
      <c r="D14" s="20" t="s">
        <v>46</v>
      </c>
      <c r="F14" s="50">
        <f>G12*0.3</f>
        <v>45000</v>
      </c>
      <c r="G14" s="51"/>
      <c r="H14" s="47"/>
      <c r="I14" s="23"/>
      <c r="J14" s="52"/>
      <c r="K14" s="48" t="s">
        <v>47</v>
      </c>
      <c r="L14" s="49">
        <v>27000</v>
      </c>
      <c r="M14" s="49"/>
    </row>
    <row r="15" spans="1:15" ht="15" customHeight="1" x14ac:dyDescent="0.25">
      <c r="A15" s="18"/>
      <c r="C15" s="38"/>
      <c r="D15" s="38" t="s">
        <v>48</v>
      </c>
      <c r="F15" s="53">
        <v>45000</v>
      </c>
      <c r="G15" s="54">
        <f>F14+F15</f>
        <v>90000</v>
      </c>
      <c r="H15" s="47">
        <f>G12-G15</f>
        <v>60000</v>
      </c>
      <c r="I15" s="23"/>
      <c r="K15" s="48" t="s">
        <v>49</v>
      </c>
      <c r="L15" s="49">
        <v>4000</v>
      </c>
      <c r="M15" s="49"/>
    </row>
    <row r="16" spans="1:15" ht="15" customHeight="1" x14ac:dyDescent="0.25">
      <c r="A16" s="18"/>
      <c r="B16" s="13" t="s">
        <v>50</v>
      </c>
      <c r="C16" s="55"/>
      <c r="E16" s="56" t="s">
        <v>51</v>
      </c>
      <c r="H16" s="47"/>
      <c r="I16" s="23"/>
      <c r="K16" s="48" t="s">
        <v>52</v>
      </c>
      <c r="L16" s="49"/>
      <c r="M16" s="49">
        <v>45000</v>
      </c>
      <c r="N16" s="38"/>
      <c r="O16" s="38"/>
    </row>
    <row r="17" spans="1:15" ht="15" customHeight="1" thickBot="1" x14ac:dyDescent="0.3">
      <c r="A17" s="18"/>
      <c r="H17" s="47"/>
      <c r="I17" s="23"/>
      <c r="K17" s="10" t="s">
        <v>53</v>
      </c>
      <c r="L17" s="57">
        <v>2000500</v>
      </c>
      <c r="M17" s="2" t="s">
        <v>54</v>
      </c>
      <c r="N17" s="352" t="s">
        <v>55</v>
      </c>
      <c r="O17" s="352"/>
    </row>
    <row r="18" spans="1:15" ht="15" customHeight="1" x14ac:dyDescent="0.25">
      <c r="A18" s="18" t="s">
        <v>56</v>
      </c>
      <c r="B18" s="58" t="s">
        <v>57</v>
      </c>
      <c r="C18" s="10" t="s">
        <v>58</v>
      </c>
      <c r="F18" s="10">
        <f>+L17</f>
        <v>2000500</v>
      </c>
      <c r="H18" s="47"/>
      <c r="I18" s="23"/>
      <c r="K18" s="10" t="s">
        <v>59</v>
      </c>
      <c r="L18" s="59">
        <v>9500</v>
      </c>
      <c r="N18" s="60" t="s">
        <v>60</v>
      </c>
      <c r="O18" s="61" t="s">
        <v>61</v>
      </c>
    </row>
    <row r="19" spans="1:15" ht="15" customHeight="1" x14ac:dyDescent="0.25">
      <c r="A19" s="18"/>
      <c r="B19" s="58" t="s">
        <v>62</v>
      </c>
      <c r="C19" s="62" t="s">
        <v>63</v>
      </c>
      <c r="E19" s="63"/>
      <c r="F19" s="10">
        <f>+L18*-1</f>
        <v>-9500</v>
      </c>
      <c r="H19" s="47"/>
      <c r="I19" s="23"/>
      <c r="K19" s="10" t="s">
        <v>64</v>
      </c>
      <c r="L19" s="10">
        <v>400000</v>
      </c>
      <c r="M19" s="2" t="s">
        <v>65</v>
      </c>
      <c r="N19" s="64">
        <f>F18+F22</f>
        <v>11000500</v>
      </c>
      <c r="O19" s="65"/>
    </row>
    <row r="20" spans="1:15" ht="15" customHeight="1" x14ac:dyDescent="0.25">
      <c r="A20" s="18"/>
      <c r="B20" s="66"/>
      <c r="C20" s="34" t="s">
        <v>66</v>
      </c>
      <c r="E20" s="67" t="s">
        <v>67</v>
      </c>
      <c r="F20" s="68">
        <f>ROUND(L19*317/272,0)*-1</f>
        <v>-466176</v>
      </c>
      <c r="G20" s="10">
        <f>F18+F19+F20</f>
        <v>1524824</v>
      </c>
      <c r="H20" s="47"/>
      <c r="I20" s="23"/>
      <c r="M20" s="69"/>
      <c r="N20" s="70" t="s">
        <v>68</v>
      </c>
      <c r="O20" s="65" t="s">
        <v>69</v>
      </c>
    </row>
    <row r="21" spans="1:15" ht="15" customHeight="1" x14ac:dyDescent="0.25">
      <c r="A21" s="18"/>
      <c r="B21" s="71"/>
      <c r="E21" s="38"/>
      <c r="H21" s="47"/>
      <c r="I21" s="23"/>
      <c r="J21" s="2"/>
      <c r="K21" s="10" t="s">
        <v>70</v>
      </c>
      <c r="L21" s="57">
        <v>9000000</v>
      </c>
      <c r="M21" s="2" t="s">
        <v>54</v>
      </c>
      <c r="N21" s="72">
        <f>(F20+F23)</f>
        <v>-1179426</v>
      </c>
      <c r="O21" s="65"/>
    </row>
    <row r="22" spans="1:15" ht="15" customHeight="1" x14ac:dyDescent="0.25">
      <c r="A22" s="18" t="s">
        <v>71</v>
      </c>
      <c r="B22" s="58" t="s">
        <v>72</v>
      </c>
      <c r="C22" s="10" t="s">
        <v>73</v>
      </c>
      <c r="F22" s="10">
        <f>+L21</f>
        <v>9000000</v>
      </c>
      <c r="H22" s="47"/>
      <c r="I22" s="23"/>
      <c r="J22" s="2"/>
      <c r="K22" s="10" t="s">
        <v>74</v>
      </c>
      <c r="L22" s="10">
        <v>450000</v>
      </c>
      <c r="M22" s="2" t="s">
        <v>75</v>
      </c>
      <c r="N22" s="70" t="s">
        <v>76</v>
      </c>
      <c r="O22" s="65" t="s">
        <v>77</v>
      </c>
    </row>
    <row r="23" spans="1:15" ht="15" customHeight="1" x14ac:dyDescent="0.25">
      <c r="A23" s="18"/>
      <c r="B23" s="58" t="s">
        <v>62</v>
      </c>
      <c r="C23" s="73" t="s">
        <v>78</v>
      </c>
      <c r="E23" s="32" t="s">
        <v>79</v>
      </c>
      <c r="F23" s="68">
        <f>ROUND(L22*317/200,0)*-1</f>
        <v>-713250</v>
      </c>
      <c r="G23" s="10">
        <f>F22+F23</f>
        <v>8286750</v>
      </c>
      <c r="H23" s="47"/>
      <c r="I23" s="23"/>
      <c r="J23" s="2"/>
      <c r="K23" s="10" t="s">
        <v>80</v>
      </c>
      <c r="L23" s="10">
        <v>1050000</v>
      </c>
      <c r="N23" s="74">
        <f>F19</f>
        <v>-9500</v>
      </c>
      <c r="O23" s="65"/>
    </row>
    <row r="24" spans="1:15" ht="15" customHeight="1" thickBot="1" x14ac:dyDescent="0.3">
      <c r="A24" s="18"/>
      <c r="B24" s="38"/>
      <c r="C24" s="34" t="s">
        <v>81</v>
      </c>
      <c r="F24" s="10" t="s">
        <v>82</v>
      </c>
      <c r="H24" s="47"/>
      <c r="I24" s="23"/>
      <c r="J24" s="2"/>
      <c r="N24" s="75">
        <f>N19+N21+N23</f>
        <v>9811574</v>
      </c>
      <c r="O24" s="76" t="s">
        <v>83</v>
      </c>
    </row>
    <row r="25" spans="1:15" ht="15" customHeight="1" x14ac:dyDescent="0.25">
      <c r="A25" s="18"/>
      <c r="B25" s="38"/>
      <c r="C25" s="34"/>
      <c r="F25" s="77"/>
      <c r="H25" s="47"/>
      <c r="I25" s="23"/>
      <c r="J25" s="78"/>
      <c r="K25" s="339"/>
      <c r="L25" s="339"/>
      <c r="M25" s="339"/>
      <c r="N25" s="79"/>
      <c r="O25" s="79"/>
    </row>
    <row r="26" spans="1:15" ht="15" customHeight="1" x14ac:dyDescent="0.25">
      <c r="A26" s="340" t="s">
        <v>84</v>
      </c>
      <c r="B26" s="340"/>
      <c r="C26" s="340"/>
      <c r="D26" s="340"/>
      <c r="E26" s="340"/>
      <c r="F26" s="340"/>
      <c r="H26" s="47"/>
      <c r="I26" s="23"/>
      <c r="J26" s="80" t="s">
        <v>85</v>
      </c>
      <c r="K26" s="81" t="s">
        <v>86</v>
      </c>
      <c r="L26" s="82">
        <f>3740*500</f>
        <v>1870000</v>
      </c>
      <c r="M26" s="83" t="s">
        <v>87</v>
      </c>
      <c r="N26" s="84"/>
    </row>
    <row r="27" spans="1:15" ht="15" customHeight="1" x14ac:dyDescent="0.25">
      <c r="A27" s="85" t="s">
        <v>88</v>
      </c>
      <c r="B27" s="86" t="s">
        <v>89</v>
      </c>
      <c r="C27" s="87" t="s">
        <v>90</v>
      </c>
      <c r="D27" s="87"/>
      <c r="E27" s="88" t="s">
        <v>91</v>
      </c>
      <c r="F27" s="89">
        <f>+L26</f>
        <v>1870000</v>
      </c>
      <c r="H27" s="47"/>
      <c r="I27" s="23"/>
      <c r="J27" s="90"/>
      <c r="K27" s="82" t="s">
        <v>92</v>
      </c>
      <c r="L27" s="82">
        <f>3740*320</f>
        <v>1196800</v>
      </c>
      <c r="M27" s="83" t="s">
        <v>93</v>
      </c>
      <c r="N27" s="84"/>
    </row>
    <row r="28" spans="1:15" ht="15" customHeight="1" thickBot="1" x14ac:dyDescent="0.3">
      <c r="A28" s="91"/>
      <c r="B28" s="92" t="s">
        <v>94</v>
      </c>
      <c r="C28" s="93" t="s">
        <v>95</v>
      </c>
      <c r="D28" s="87"/>
      <c r="E28" s="88"/>
      <c r="F28" s="94">
        <f>+L28*-1</f>
        <v>-1575000</v>
      </c>
      <c r="G28" s="87">
        <f>F27+F28</f>
        <v>295000</v>
      </c>
      <c r="H28" s="47"/>
      <c r="I28" s="23"/>
      <c r="J28" s="90"/>
      <c r="K28" s="82" t="s">
        <v>96</v>
      </c>
      <c r="L28" s="82">
        <v>1575000</v>
      </c>
      <c r="N28" s="84"/>
    </row>
    <row r="29" spans="1:15" ht="15" customHeight="1" thickBot="1" x14ac:dyDescent="0.3">
      <c r="A29" s="18"/>
      <c r="B29" s="95"/>
      <c r="C29" s="96"/>
      <c r="D29" s="97"/>
      <c r="E29" s="98"/>
      <c r="F29" s="99"/>
      <c r="G29" s="97"/>
      <c r="H29" s="47"/>
      <c r="I29" s="23"/>
      <c r="J29" s="90"/>
      <c r="K29" s="341" t="s">
        <v>97</v>
      </c>
      <c r="L29" s="342"/>
      <c r="M29" s="342"/>
      <c r="N29" s="100">
        <f>G28+G31</f>
        <v>785000</v>
      </c>
      <c r="O29" s="101" t="s">
        <v>98</v>
      </c>
    </row>
    <row r="30" spans="1:15" ht="15" customHeight="1" x14ac:dyDescent="0.25">
      <c r="A30" s="102" t="s">
        <v>99</v>
      </c>
      <c r="B30" s="103" t="s">
        <v>89</v>
      </c>
      <c r="C30" s="104" t="s">
        <v>100</v>
      </c>
      <c r="D30" s="104"/>
      <c r="E30" s="105" t="s">
        <v>101</v>
      </c>
      <c r="F30" s="104">
        <f>+L30</f>
        <v>3800000</v>
      </c>
      <c r="G30" s="97"/>
      <c r="H30" s="47"/>
      <c r="I30" s="23"/>
      <c r="J30" s="106" t="s">
        <v>85</v>
      </c>
      <c r="K30" s="107" t="s">
        <v>102</v>
      </c>
      <c r="L30" s="108">
        <f>3800*1000</f>
        <v>3800000</v>
      </c>
      <c r="M30" s="83" t="s">
        <v>103</v>
      </c>
    </row>
    <row r="31" spans="1:15" ht="15" customHeight="1" x14ac:dyDescent="0.25">
      <c r="A31" s="109"/>
      <c r="B31" s="110" t="s">
        <v>94</v>
      </c>
      <c r="C31" s="111" t="s">
        <v>95</v>
      </c>
      <c r="D31" s="104"/>
      <c r="E31" s="105"/>
      <c r="F31" s="112">
        <f>+L32</f>
        <v>3310000</v>
      </c>
      <c r="G31" s="113">
        <f>F30-F31</f>
        <v>490000</v>
      </c>
      <c r="H31" s="47"/>
      <c r="I31" s="23"/>
      <c r="J31" s="108"/>
      <c r="K31" s="107" t="s">
        <v>104</v>
      </c>
      <c r="L31" s="108">
        <f>3800*57</f>
        <v>216600</v>
      </c>
      <c r="M31" s="83" t="s">
        <v>105</v>
      </c>
    </row>
    <row r="32" spans="1:15" ht="15" customHeight="1" x14ac:dyDescent="0.25">
      <c r="A32" s="18"/>
      <c r="C32" s="73"/>
      <c r="H32" s="47"/>
      <c r="I32" s="23"/>
      <c r="J32" s="108"/>
      <c r="K32" s="107" t="s">
        <v>96</v>
      </c>
      <c r="L32" s="108">
        <v>3310000</v>
      </c>
    </row>
    <row r="33" spans="1:14" ht="15" customHeight="1" x14ac:dyDescent="0.25">
      <c r="A33" s="18"/>
      <c r="C33" s="114" t="s">
        <v>106</v>
      </c>
      <c r="D33" s="115">
        <f>G20+G23</f>
        <v>9811574</v>
      </c>
      <c r="E33" s="116" t="s">
        <v>107</v>
      </c>
      <c r="F33" s="117">
        <f>G28+G31</f>
        <v>785000</v>
      </c>
      <c r="H33" s="47">
        <f>G20+G23+G28+G31</f>
        <v>10596574</v>
      </c>
      <c r="I33" s="23"/>
      <c r="J33" s="108"/>
      <c r="K33" s="118"/>
      <c r="L33" s="108"/>
      <c r="M33" s="119"/>
      <c r="N33" s="84"/>
    </row>
    <row r="34" spans="1:14" ht="15" customHeight="1" x14ac:dyDescent="0.25">
      <c r="A34" s="18"/>
      <c r="B34" s="13" t="s">
        <v>108</v>
      </c>
      <c r="H34" s="47"/>
      <c r="I34" s="23"/>
    </row>
    <row r="35" spans="1:14" ht="15" customHeight="1" x14ac:dyDescent="0.25">
      <c r="A35" s="18"/>
      <c r="B35" s="120"/>
      <c r="C35" s="121" t="s">
        <v>109</v>
      </c>
      <c r="D35" s="19"/>
      <c r="E35" s="19"/>
      <c r="F35" s="38"/>
      <c r="G35" s="10">
        <f>+L35</f>
        <v>24900</v>
      </c>
      <c r="H35" s="47"/>
      <c r="I35" s="23"/>
      <c r="K35" s="10" t="s">
        <v>109</v>
      </c>
      <c r="L35" s="10">
        <v>24900</v>
      </c>
    </row>
    <row r="36" spans="1:14" ht="15" customHeight="1" x14ac:dyDescent="0.25">
      <c r="A36" s="18"/>
      <c r="B36" s="120"/>
      <c r="C36" s="97" t="s">
        <v>110</v>
      </c>
      <c r="D36" s="19"/>
      <c r="E36" s="19"/>
      <c r="F36" s="38"/>
      <c r="G36" s="9">
        <f>82000+50000</f>
        <v>132000</v>
      </c>
      <c r="H36" s="47"/>
      <c r="I36" s="23"/>
      <c r="K36" s="10" t="s">
        <v>111</v>
      </c>
      <c r="M36" s="122"/>
    </row>
    <row r="37" spans="1:14" ht="15" customHeight="1" x14ac:dyDescent="0.25">
      <c r="A37" s="18"/>
      <c r="B37" s="120" t="s">
        <v>112</v>
      </c>
      <c r="C37" s="97" t="s">
        <v>113</v>
      </c>
      <c r="D37" s="19"/>
      <c r="E37" s="19"/>
      <c r="F37" s="38"/>
      <c r="G37" s="9">
        <f>74000-1500</f>
        <v>72500</v>
      </c>
      <c r="H37" s="47"/>
      <c r="I37" s="23"/>
      <c r="K37" s="10" t="s">
        <v>114</v>
      </c>
      <c r="L37" s="10">
        <v>74000</v>
      </c>
      <c r="M37" s="122"/>
    </row>
    <row r="38" spans="1:14" ht="15" customHeight="1" x14ac:dyDescent="0.25">
      <c r="A38" s="18"/>
      <c r="B38" s="120"/>
      <c r="C38" s="10" t="s">
        <v>115</v>
      </c>
      <c r="D38" s="19"/>
      <c r="E38" s="19"/>
      <c r="F38" s="38"/>
      <c r="G38" s="9">
        <f>+L38</f>
        <v>120000</v>
      </c>
      <c r="H38" s="47"/>
      <c r="I38" s="23"/>
      <c r="K38" s="10" t="s">
        <v>116</v>
      </c>
      <c r="L38" s="10">
        <v>120000</v>
      </c>
      <c r="M38" s="123">
        <v>44355</v>
      </c>
    </row>
    <row r="39" spans="1:14" ht="15" customHeight="1" x14ac:dyDescent="0.25">
      <c r="A39" s="18"/>
      <c r="B39" s="120"/>
      <c r="C39" s="10" t="s">
        <v>117</v>
      </c>
      <c r="G39" s="124">
        <f>+L39</f>
        <v>224800</v>
      </c>
      <c r="H39" s="47">
        <f>SUM(G35:G39)</f>
        <v>574200</v>
      </c>
      <c r="I39" s="23"/>
      <c r="K39" s="45" t="s">
        <v>117</v>
      </c>
      <c r="L39" s="10">
        <v>224800</v>
      </c>
      <c r="M39" s="123">
        <v>44362</v>
      </c>
    </row>
    <row r="40" spans="1:14" ht="15" customHeight="1" x14ac:dyDescent="0.25">
      <c r="A40" s="18"/>
      <c r="B40" s="120"/>
      <c r="G40" s="9"/>
      <c r="H40" s="47"/>
      <c r="I40" s="125"/>
      <c r="M40" s="97"/>
    </row>
    <row r="41" spans="1:14" ht="15" customHeight="1" x14ac:dyDescent="0.25">
      <c r="A41" s="18"/>
      <c r="B41" s="13" t="s">
        <v>118</v>
      </c>
      <c r="E41" s="2"/>
      <c r="F41" s="2"/>
      <c r="G41" s="22"/>
      <c r="H41" s="126">
        <f>SUM(H4:H40)</f>
        <v>15397974</v>
      </c>
      <c r="I41" s="127"/>
    </row>
    <row r="42" spans="1:14" ht="15" customHeight="1" x14ac:dyDescent="0.25">
      <c r="A42" s="18"/>
      <c r="B42" s="128" t="s">
        <v>119</v>
      </c>
      <c r="H42" s="47"/>
      <c r="I42" s="23"/>
    </row>
    <row r="43" spans="1:14" ht="15" customHeight="1" x14ac:dyDescent="0.25">
      <c r="A43" s="18"/>
      <c r="B43" s="129"/>
      <c r="C43" s="40" t="s">
        <v>120</v>
      </c>
      <c r="D43" s="10" t="str">
        <f>+K43</f>
        <v>Recognised Prov Fund</v>
      </c>
      <c r="F43" s="38">
        <f>+L43</f>
        <v>80000</v>
      </c>
      <c r="H43" s="47"/>
      <c r="I43" s="23"/>
      <c r="K43" s="130" t="s">
        <v>121</v>
      </c>
      <c r="L43" s="130">
        <v>80000</v>
      </c>
    </row>
    <row r="44" spans="1:14" ht="15" customHeight="1" x14ac:dyDescent="0.25">
      <c r="A44" s="18"/>
      <c r="B44" s="129"/>
      <c r="C44" s="40"/>
      <c r="D44" s="10" t="str">
        <f>+K44</f>
        <v>Public Prov Fund</v>
      </c>
      <c r="F44" s="38">
        <f>+L44</f>
        <v>22000</v>
      </c>
      <c r="H44" s="47"/>
      <c r="I44" s="23"/>
      <c r="K44" s="130" t="s">
        <v>122</v>
      </c>
      <c r="L44" s="130">
        <v>22000</v>
      </c>
    </row>
    <row r="45" spans="1:14" ht="15" customHeight="1" x14ac:dyDescent="0.25">
      <c r="A45" s="18"/>
      <c r="B45" s="129"/>
      <c r="D45" s="130" t="s">
        <v>123</v>
      </c>
      <c r="F45" s="53">
        <f>+L45</f>
        <v>4000</v>
      </c>
      <c r="G45" s="131">
        <f>F43+F44+F45</f>
        <v>106000</v>
      </c>
      <c r="H45" s="47"/>
      <c r="I45" s="23"/>
      <c r="K45" s="130" t="s">
        <v>123</v>
      </c>
      <c r="L45" s="130">
        <v>4000</v>
      </c>
    </row>
    <row r="46" spans="1:14" ht="15" customHeight="1" x14ac:dyDescent="0.25">
      <c r="A46" s="18"/>
      <c r="B46" s="129"/>
      <c r="C46" s="40" t="s">
        <v>124</v>
      </c>
      <c r="F46" s="38"/>
      <c r="G46" s="131">
        <f>L46-G47</f>
        <v>10000</v>
      </c>
      <c r="H46" s="47"/>
      <c r="I46" s="23"/>
      <c r="K46" s="130" t="s">
        <v>125</v>
      </c>
      <c r="L46" s="130">
        <v>60000</v>
      </c>
    </row>
    <row r="47" spans="1:14" ht="15" customHeight="1" x14ac:dyDescent="0.25">
      <c r="A47" s="18"/>
      <c r="B47" s="129"/>
      <c r="C47" s="40" t="s">
        <v>126</v>
      </c>
      <c r="F47" s="132"/>
      <c r="G47" s="131">
        <v>50000</v>
      </c>
      <c r="H47" s="47"/>
      <c r="I47" s="23"/>
      <c r="K47" s="130" t="s">
        <v>127</v>
      </c>
      <c r="L47" s="10">
        <v>30000</v>
      </c>
      <c r="M47" s="77" t="s">
        <v>128</v>
      </c>
    </row>
    <row r="48" spans="1:14" ht="15" customHeight="1" x14ac:dyDescent="0.25">
      <c r="A48" s="18"/>
      <c r="B48" s="129"/>
      <c r="C48" s="40" t="s">
        <v>129</v>
      </c>
      <c r="D48" s="38" t="s">
        <v>130</v>
      </c>
      <c r="F48" s="132"/>
      <c r="G48" s="46">
        <v>25000</v>
      </c>
      <c r="H48" s="47"/>
      <c r="I48" s="23"/>
      <c r="K48" s="130" t="s">
        <v>131</v>
      </c>
      <c r="L48" s="10">
        <v>20000</v>
      </c>
      <c r="M48" s="10" t="s">
        <v>132</v>
      </c>
    </row>
    <row r="49" spans="1:14" ht="15" customHeight="1" x14ac:dyDescent="0.25">
      <c r="A49" s="18"/>
      <c r="B49" s="129"/>
      <c r="C49" s="40" t="s">
        <v>133</v>
      </c>
      <c r="F49" s="132"/>
      <c r="G49" s="46">
        <v>87000</v>
      </c>
      <c r="H49" s="47"/>
      <c r="I49" s="23"/>
      <c r="K49" s="10" t="s">
        <v>134</v>
      </c>
      <c r="L49" s="10">
        <v>87000</v>
      </c>
    </row>
    <row r="50" spans="1:14" ht="15" customHeight="1" x14ac:dyDescent="0.25">
      <c r="A50" s="18"/>
      <c r="C50" s="40" t="s">
        <v>135</v>
      </c>
      <c r="D50" s="38" t="s">
        <v>136</v>
      </c>
      <c r="E50" s="2"/>
      <c r="F50" s="2"/>
      <c r="G50" s="54">
        <v>10000</v>
      </c>
      <c r="H50" s="47">
        <f>SUM(G45:G50)</f>
        <v>288000</v>
      </c>
      <c r="I50" s="23"/>
      <c r="K50" s="133"/>
    </row>
    <row r="51" spans="1:14" ht="15" customHeight="1" thickBot="1" x14ac:dyDescent="0.3">
      <c r="A51" s="18"/>
      <c r="B51" s="134" t="s">
        <v>137</v>
      </c>
      <c r="E51" s="135">
        <f>IF((H41-H50)&lt;0,0,(H41-H50))</f>
        <v>15109974</v>
      </c>
      <c r="F51" s="136" t="s">
        <v>138</v>
      </c>
      <c r="G51" s="137"/>
      <c r="H51" s="138">
        <f>ROUND((E51/10),0)*10-1</f>
        <v>15109969</v>
      </c>
      <c r="I51" s="139"/>
      <c r="K51" s="132" t="s">
        <v>139</v>
      </c>
    </row>
    <row r="52" spans="1:14" ht="15" customHeight="1" thickTop="1" x14ac:dyDescent="0.25">
      <c r="A52" s="18"/>
      <c r="B52" s="132" t="s">
        <v>140</v>
      </c>
      <c r="E52" s="140" t="s">
        <v>141</v>
      </c>
      <c r="F52" s="141" t="s">
        <v>142</v>
      </c>
      <c r="G52" s="140" t="s">
        <v>143</v>
      </c>
      <c r="H52" s="142"/>
      <c r="I52" s="143"/>
      <c r="K52" s="83" t="s">
        <v>144</v>
      </c>
      <c r="L52" s="144">
        <v>0.05</v>
      </c>
      <c r="M52" s="10">
        <f>250000*5%</f>
        <v>12500</v>
      </c>
    </row>
    <row r="53" spans="1:14" ht="15" customHeight="1" x14ac:dyDescent="0.25">
      <c r="A53" s="18"/>
      <c r="B53" s="145">
        <f>H10+H15+H39-H50</f>
        <v>4513400</v>
      </c>
      <c r="C53" s="38" t="s">
        <v>145</v>
      </c>
      <c r="E53" s="9">
        <f>H51-E55-E54</f>
        <v>4513395</v>
      </c>
      <c r="F53" s="146"/>
      <c r="G53" s="10">
        <f>IF(+I2="Sr",ROUND(IF(E53&gt;1000000,(((E53-1000000)*0.3)+110000),IF(E53&gt;500000,(((E53-500000)*0.2)+10000),IF(E53&gt;300000,((E53-300000)*0.05),0))),0),ROUND(IF(E53&gt;1000000,(((E53-1000000)*0.3)+112500),IF(E53&gt;500000,(((E53-500000)*0.2)+12500),IF(E53&gt;250000,((E53-250000)*0.05),0))),0))</f>
        <v>1166519</v>
      </c>
      <c r="H53" s="142"/>
      <c r="I53" s="143"/>
      <c r="K53" s="83" t="s">
        <v>146</v>
      </c>
      <c r="L53" s="144">
        <v>0.2</v>
      </c>
      <c r="M53" s="10">
        <f>500000*20%</f>
        <v>100000</v>
      </c>
    </row>
    <row r="54" spans="1:14" ht="15" customHeight="1" x14ac:dyDescent="0.25">
      <c r="A54" s="18"/>
      <c r="B54" s="147" t="s">
        <v>147</v>
      </c>
      <c r="C54" s="38" t="s">
        <v>148</v>
      </c>
      <c r="E54" s="9">
        <f>(G28+G31)</f>
        <v>785000</v>
      </c>
      <c r="F54" s="148">
        <v>0.1</v>
      </c>
      <c r="G54" s="10">
        <f>(E54-100000)*F54</f>
        <v>68500</v>
      </c>
      <c r="H54" s="142"/>
      <c r="I54" s="143"/>
      <c r="K54" s="83" t="s">
        <v>149</v>
      </c>
      <c r="L54" s="144">
        <v>0.3</v>
      </c>
      <c r="M54" s="10">
        <f>ROUND((E53-1000000)*30%,0)</f>
        <v>1054019</v>
      </c>
    </row>
    <row r="55" spans="1:14" ht="15" customHeight="1" thickBot="1" x14ac:dyDescent="0.3">
      <c r="A55" s="18"/>
      <c r="B55" s="147" t="s">
        <v>147</v>
      </c>
      <c r="C55" s="38" t="s">
        <v>150</v>
      </c>
      <c r="E55" s="149">
        <f>+G23+G20</f>
        <v>9811574</v>
      </c>
      <c r="F55" s="150">
        <v>0.2</v>
      </c>
      <c r="G55" s="54">
        <f>ROUND(E55*F55,0)</f>
        <v>1962315</v>
      </c>
      <c r="H55" s="151"/>
      <c r="I55" s="152"/>
      <c r="M55" s="153">
        <f>SUM(M52:M54)</f>
        <v>1166519</v>
      </c>
    </row>
    <row r="56" spans="1:14" ht="15" customHeight="1" thickTop="1" x14ac:dyDescent="0.25">
      <c r="A56" s="18"/>
      <c r="D56" s="146"/>
      <c r="E56" s="2"/>
      <c r="G56" s="25">
        <f>G53+G55+G54</f>
        <v>3197334</v>
      </c>
      <c r="H56" s="154"/>
      <c r="I56" s="155"/>
      <c r="K56" s="10" t="s">
        <v>151</v>
      </c>
      <c r="L56" s="9">
        <f>+E55</f>
        <v>9811574</v>
      </c>
    </row>
    <row r="57" spans="1:14" ht="15" customHeight="1" x14ac:dyDescent="0.25">
      <c r="A57" s="18"/>
      <c r="B57" s="38" t="s">
        <v>152</v>
      </c>
      <c r="C57" s="38" t="s">
        <v>153</v>
      </c>
      <c r="D57" s="146"/>
      <c r="E57" s="2"/>
      <c r="G57" s="156"/>
      <c r="H57" s="157">
        <f>G56-G57</f>
        <v>3197334</v>
      </c>
      <c r="I57" s="158"/>
      <c r="K57" s="10" t="s">
        <v>154</v>
      </c>
      <c r="L57" s="9">
        <f>+E54</f>
        <v>785000</v>
      </c>
      <c r="N57" s="10">
        <f>H57/H51</f>
        <v>0.21160427264940121</v>
      </c>
    </row>
    <row r="58" spans="1:14" ht="15" customHeight="1" x14ac:dyDescent="0.25">
      <c r="A58" s="18"/>
      <c r="B58" s="10" t="s">
        <v>155</v>
      </c>
      <c r="C58" s="38"/>
      <c r="D58" s="146"/>
      <c r="E58" s="2"/>
      <c r="G58" s="159">
        <v>0.15</v>
      </c>
      <c r="H58" s="160">
        <f>IF(H51&gt;10000000,H57*15%,IF(H51&gt;5000000,H57*10%,0))</f>
        <v>479600.1</v>
      </c>
      <c r="I58" s="161"/>
    </row>
    <row r="59" spans="1:14" ht="15" customHeight="1" x14ac:dyDescent="0.25">
      <c r="A59" s="18"/>
      <c r="C59" s="38"/>
      <c r="D59" s="146"/>
      <c r="E59" s="2"/>
      <c r="G59" s="25"/>
      <c r="H59" s="157">
        <f>H57+H58</f>
        <v>3676934.1</v>
      </c>
      <c r="I59" s="158"/>
    </row>
    <row r="60" spans="1:14" ht="15" customHeight="1" x14ac:dyDescent="0.25">
      <c r="A60" s="18"/>
      <c r="B60" s="38" t="s">
        <v>156</v>
      </c>
      <c r="D60" s="146"/>
      <c r="E60" s="2"/>
      <c r="G60" s="159">
        <v>0.04</v>
      </c>
      <c r="H60" s="160">
        <f>ROUND((H59)*0.04,0)</f>
        <v>147077</v>
      </c>
      <c r="I60" s="161"/>
      <c r="K60" s="162" t="s">
        <v>157</v>
      </c>
      <c r="L60" s="163" t="s">
        <v>158</v>
      </c>
      <c r="M60" s="163" t="s">
        <v>159</v>
      </c>
      <c r="N60" s="163" t="s">
        <v>160</v>
      </c>
    </row>
    <row r="61" spans="1:14" ht="15" customHeight="1" x14ac:dyDescent="0.25">
      <c r="A61" s="18"/>
      <c r="B61" s="132" t="s">
        <v>161</v>
      </c>
      <c r="D61" s="146"/>
      <c r="E61" s="136"/>
      <c r="G61" s="2"/>
      <c r="H61" s="154">
        <f>SUM(H59:H60)</f>
        <v>3824011.1</v>
      </c>
      <c r="I61" s="155"/>
      <c r="J61" s="164"/>
      <c r="K61" s="165" t="s">
        <v>162</v>
      </c>
      <c r="L61" s="166">
        <v>9000</v>
      </c>
      <c r="M61" s="166">
        <v>308000</v>
      </c>
      <c r="N61" s="167"/>
    </row>
    <row r="62" spans="1:14" ht="15" customHeight="1" x14ac:dyDescent="0.3">
      <c r="A62" s="18"/>
      <c r="B62" s="38" t="s">
        <v>163</v>
      </c>
      <c r="D62" s="146"/>
      <c r="E62" s="168" t="s">
        <v>325</v>
      </c>
      <c r="G62" s="169"/>
      <c r="H62" s="154">
        <f>+H103+1024</f>
        <v>512030</v>
      </c>
      <c r="I62" s="155"/>
      <c r="J62" s="164">
        <v>1024</v>
      </c>
      <c r="K62" s="165" t="s">
        <v>165</v>
      </c>
      <c r="L62" s="166">
        <v>8001500</v>
      </c>
      <c r="M62" s="170"/>
      <c r="N62" s="167"/>
    </row>
    <row r="63" spans="1:14" ht="15" customHeight="1" x14ac:dyDescent="0.25">
      <c r="A63" s="18"/>
      <c r="B63" s="38" t="s">
        <v>166</v>
      </c>
      <c r="C63" s="2"/>
      <c r="D63" s="2"/>
      <c r="E63" s="2" t="s">
        <v>167</v>
      </c>
      <c r="G63" s="169"/>
      <c r="H63" s="171">
        <v>5000</v>
      </c>
      <c r="I63" s="172"/>
      <c r="J63" s="164"/>
      <c r="K63" s="165" t="s">
        <v>168</v>
      </c>
      <c r="L63" s="166">
        <v>86000</v>
      </c>
      <c r="M63" s="170"/>
      <c r="N63" s="167"/>
    </row>
    <row r="64" spans="1:14" ht="15" customHeight="1" x14ac:dyDescent="0.25">
      <c r="A64" s="18"/>
      <c r="B64" s="132" t="s">
        <v>169</v>
      </c>
      <c r="C64" s="2"/>
      <c r="D64" s="2"/>
      <c r="E64" s="2"/>
      <c r="F64" s="2"/>
      <c r="G64" s="2"/>
      <c r="H64" s="47">
        <f>H61+H63+H62</f>
        <v>4341041.0999999996</v>
      </c>
      <c r="I64" s="23"/>
      <c r="J64" s="38"/>
      <c r="K64" s="165" t="s">
        <v>170</v>
      </c>
      <c r="L64" s="166">
        <v>515000</v>
      </c>
      <c r="M64" s="170"/>
    </row>
    <row r="65" spans="1:14" ht="15" customHeight="1" x14ac:dyDescent="0.25">
      <c r="A65" s="18"/>
      <c r="B65" s="13" t="s">
        <v>171</v>
      </c>
      <c r="C65" s="2"/>
      <c r="D65" s="2"/>
      <c r="E65" s="2"/>
      <c r="F65" s="2"/>
      <c r="G65" s="2"/>
      <c r="H65" s="47"/>
      <c r="I65" s="23"/>
      <c r="K65" s="173" t="s">
        <v>172</v>
      </c>
      <c r="L65" s="174">
        <f>L61+L62+L63+L64</f>
        <v>8611500</v>
      </c>
      <c r="M65" s="170"/>
    </row>
    <row r="66" spans="1:14" ht="15" customHeight="1" x14ac:dyDescent="0.3">
      <c r="A66" s="18"/>
      <c r="B66" s="175">
        <v>44545</v>
      </c>
      <c r="C66" s="343" t="s">
        <v>173</v>
      </c>
      <c r="D66" s="343"/>
      <c r="E66" s="176"/>
      <c r="F66" s="176"/>
      <c r="G66" s="149">
        <v>118000</v>
      </c>
      <c r="H66" s="47"/>
      <c r="I66" s="23"/>
      <c r="K66" s="165" t="s">
        <v>174</v>
      </c>
      <c r="L66" s="166">
        <v>48000</v>
      </c>
      <c r="M66" s="177" t="s">
        <v>175</v>
      </c>
    </row>
    <row r="67" spans="1:14" ht="15" customHeight="1" x14ac:dyDescent="0.3">
      <c r="A67" s="18"/>
      <c r="B67" s="175">
        <v>44610</v>
      </c>
      <c r="C67" s="343" t="s">
        <v>173</v>
      </c>
      <c r="D67" s="343"/>
      <c r="G67" s="149">
        <v>10000</v>
      </c>
      <c r="H67" s="47"/>
      <c r="I67" s="23"/>
      <c r="N67" s="178"/>
    </row>
    <row r="68" spans="1:14" ht="15" customHeight="1" x14ac:dyDescent="0.3">
      <c r="A68" s="18"/>
      <c r="B68" s="179"/>
      <c r="C68" s="343" t="s">
        <v>176</v>
      </c>
      <c r="D68" s="343"/>
      <c r="E68" s="176" t="s">
        <v>177</v>
      </c>
      <c r="F68" s="180"/>
      <c r="G68" s="149">
        <v>1018500</v>
      </c>
      <c r="H68" s="47">
        <f>SUM(G66:G68)</f>
        <v>1146500</v>
      </c>
      <c r="I68" s="23"/>
      <c r="K68" s="181" t="s">
        <v>178</v>
      </c>
      <c r="L68" s="182"/>
      <c r="M68" s="182"/>
    </row>
    <row r="69" spans="1:14" ht="15" customHeight="1" thickBot="1" x14ac:dyDescent="0.3">
      <c r="A69" s="183"/>
      <c r="B69" s="184" t="str">
        <f>IF(H69=0,"TAX  PAYABLE / REFUND ",IF(H69&lt;0,"REFUND","TAX  PAYABLE including Interest"))</f>
        <v>TAX  PAYABLE including Interest</v>
      </c>
      <c r="C69" s="185"/>
      <c r="D69" s="186"/>
      <c r="E69" s="186"/>
      <c r="F69" s="187" t="s">
        <v>179</v>
      </c>
      <c r="G69" s="188"/>
      <c r="H69" s="189">
        <f>ROUND((H64-H68)/10,0)*10</f>
        <v>3194540</v>
      </c>
      <c r="I69" s="190"/>
      <c r="K69" s="182" t="s">
        <v>180</v>
      </c>
      <c r="L69" s="182"/>
      <c r="M69" s="191">
        <f>+H10</f>
        <v>4167200</v>
      </c>
    </row>
    <row r="70" spans="1:14" ht="15" customHeight="1" x14ac:dyDescent="0.25">
      <c r="A70" s="332" t="s">
        <v>181</v>
      </c>
      <c r="B70" s="333"/>
      <c r="C70" s="333"/>
      <c r="D70" s="333"/>
      <c r="E70" s="333"/>
      <c r="F70" s="333"/>
      <c r="G70" s="333"/>
      <c r="H70" s="333"/>
      <c r="I70" s="334"/>
      <c r="K70" s="192" t="s">
        <v>182</v>
      </c>
      <c r="L70" s="182"/>
      <c r="M70" s="193">
        <f>+G45+G46+G47+G48+G49</f>
        <v>278000</v>
      </c>
    </row>
    <row r="71" spans="1:14" ht="15" customHeight="1" thickBot="1" x14ac:dyDescent="0.3">
      <c r="A71" s="335"/>
      <c r="B71" s="336"/>
      <c r="C71" s="194" t="s">
        <v>183</v>
      </c>
      <c r="D71" s="195"/>
      <c r="E71" s="196" t="s">
        <v>184</v>
      </c>
      <c r="F71" s="337" t="s">
        <v>185</v>
      </c>
      <c r="G71" s="337"/>
      <c r="H71" s="337"/>
      <c r="I71" s="338"/>
      <c r="K71" s="182"/>
      <c r="L71" s="182"/>
      <c r="M71" s="197">
        <f>M69-M70</f>
        <v>3889200</v>
      </c>
    </row>
    <row r="72" spans="1:14" ht="15" customHeight="1" x14ac:dyDescent="0.3">
      <c r="A72" s="198"/>
      <c r="B72" s="199" t="s">
        <v>186</v>
      </c>
      <c r="C72" s="200"/>
      <c r="D72" s="200"/>
      <c r="E72" s="200"/>
      <c r="F72" s="200"/>
      <c r="G72" s="200"/>
      <c r="H72" s="200"/>
      <c r="I72" s="200"/>
      <c r="K72" s="201" t="s">
        <v>187</v>
      </c>
      <c r="L72" s="182"/>
      <c r="M72" s="182">
        <f>112500+(M71-1000000)*0.3</f>
        <v>979260</v>
      </c>
    </row>
    <row r="73" spans="1:14" ht="15" customHeight="1" x14ac:dyDescent="0.3">
      <c r="A73" s="198"/>
      <c r="B73" s="199" t="s">
        <v>188</v>
      </c>
      <c r="C73" s="200"/>
      <c r="D73" s="200"/>
      <c r="E73" s="200"/>
      <c r="F73" s="200"/>
      <c r="G73" s="200"/>
      <c r="H73" s="200"/>
      <c r="I73" s="200"/>
      <c r="K73" s="201" t="s">
        <v>189</v>
      </c>
      <c r="L73" s="202"/>
      <c r="M73" s="182"/>
    </row>
    <row r="74" spans="1:14" ht="15" customHeight="1" x14ac:dyDescent="0.3">
      <c r="A74" s="198"/>
      <c r="B74" s="199" t="s">
        <v>190</v>
      </c>
      <c r="C74" s="200"/>
      <c r="D74" s="200"/>
      <c r="E74" s="200"/>
      <c r="F74" s="200"/>
      <c r="G74" s="200"/>
      <c r="H74" s="200"/>
      <c r="I74" s="200"/>
      <c r="K74" s="201" t="s">
        <v>191</v>
      </c>
      <c r="L74" s="202">
        <v>0.04</v>
      </c>
      <c r="M74" s="182">
        <f>ROUND((M73+M72)*0.04,0)</f>
        <v>39170</v>
      </c>
    </row>
    <row r="75" spans="1:14" ht="15" customHeight="1" thickBot="1" x14ac:dyDescent="0.35">
      <c r="A75" s="198"/>
      <c r="B75" s="199"/>
      <c r="C75" s="200"/>
      <c r="D75" s="200"/>
      <c r="E75" s="200"/>
      <c r="F75" s="200"/>
      <c r="G75" s="200"/>
      <c r="H75" s="200"/>
      <c r="I75" s="200"/>
      <c r="K75" s="182"/>
      <c r="L75" s="182"/>
      <c r="M75" s="203">
        <f>SUM(M72:M74)</f>
        <v>1018430</v>
      </c>
    </row>
    <row r="76" spans="1:14" ht="15" customHeight="1" thickTop="1" x14ac:dyDescent="0.25">
      <c r="A76" s="204"/>
      <c r="B76" s="205" t="s">
        <v>192</v>
      </c>
      <c r="C76" s="206"/>
      <c r="D76" s="206"/>
      <c r="E76" s="206"/>
      <c r="F76" s="207"/>
      <c r="G76" s="206"/>
      <c r="H76" s="208"/>
      <c r="I76" s="200"/>
    </row>
    <row r="77" spans="1:14" ht="15" customHeight="1" x14ac:dyDescent="0.25">
      <c r="A77" s="204"/>
      <c r="B77" s="209" t="s">
        <v>193</v>
      </c>
      <c r="C77" s="206"/>
      <c r="D77" s="206"/>
      <c r="E77" s="206"/>
      <c r="F77" s="210" t="s">
        <v>194</v>
      </c>
      <c r="G77" s="211"/>
      <c r="H77" s="212"/>
      <c r="I77" s="330">
        <v>1196800</v>
      </c>
      <c r="J77" s="330"/>
      <c r="K77" s="25" t="s">
        <v>195</v>
      </c>
      <c r="L77" s="77">
        <v>1870000</v>
      </c>
    </row>
    <row r="78" spans="1:14" ht="15" customHeight="1" x14ac:dyDescent="0.25">
      <c r="A78" s="204"/>
      <c r="B78" s="209" t="s">
        <v>196</v>
      </c>
      <c r="C78" s="206"/>
      <c r="D78" s="206"/>
      <c r="E78" s="206"/>
      <c r="F78" s="210" t="s">
        <v>197</v>
      </c>
      <c r="G78" s="211"/>
      <c r="H78" s="212"/>
      <c r="I78" s="330">
        <v>1575000</v>
      </c>
      <c r="J78" s="330"/>
      <c r="K78" s="25" t="s">
        <v>198</v>
      </c>
      <c r="L78" s="97">
        <v>1196800</v>
      </c>
    </row>
    <row r="79" spans="1:14" ht="15" customHeight="1" x14ac:dyDescent="0.25">
      <c r="A79" s="213"/>
      <c r="B79" s="209" t="s">
        <v>199</v>
      </c>
      <c r="C79" s="38"/>
      <c r="D79" s="38"/>
      <c r="E79" s="38"/>
      <c r="F79" s="214" t="s">
        <v>200</v>
      </c>
      <c r="G79" s="214"/>
      <c r="H79" s="212"/>
      <c r="I79" s="330">
        <v>1575000</v>
      </c>
      <c r="J79" s="330"/>
      <c r="K79" s="25" t="s">
        <v>201</v>
      </c>
      <c r="L79" s="97">
        <v>1575000</v>
      </c>
    </row>
    <row r="80" spans="1:14" ht="15" customHeight="1" x14ac:dyDescent="0.25">
      <c r="A80" s="213"/>
      <c r="B80" s="209" t="s">
        <v>202</v>
      </c>
      <c r="C80" s="38"/>
      <c r="D80" s="38"/>
      <c r="E80" s="38"/>
      <c r="F80" s="214" t="s">
        <v>203</v>
      </c>
      <c r="G80" s="214"/>
      <c r="H80" s="212"/>
      <c r="I80" s="329">
        <f>L77-L79</f>
        <v>295000</v>
      </c>
      <c r="J80" s="329"/>
      <c r="L80" s="97"/>
    </row>
    <row r="81" spans="1:13" ht="15" customHeight="1" x14ac:dyDescent="0.25">
      <c r="A81" s="213"/>
      <c r="B81" s="38"/>
      <c r="C81" s="38"/>
      <c r="D81" s="38"/>
      <c r="E81" s="38"/>
      <c r="F81" s="38"/>
      <c r="G81" s="38"/>
      <c r="L81" s="97"/>
    </row>
    <row r="82" spans="1:13" ht="15" customHeight="1" x14ac:dyDescent="0.3">
      <c r="C82" s="216"/>
      <c r="D82" s="20"/>
      <c r="E82" s="20"/>
      <c r="F82" s="20"/>
      <c r="G82" s="20"/>
      <c r="H82" s="20"/>
      <c r="L82" s="217"/>
      <c r="M82" s="217"/>
    </row>
    <row r="83" spans="1:13" ht="15" customHeight="1" x14ac:dyDescent="0.3">
      <c r="B83" s="209" t="s">
        <v>193</v>
      </c>
      <c r="C83" s="216"/>
      <c r="D83" s="20"/>
      <c r="E83" s="20"/>
      <c r="F83" s="210" t="s">
        <v>204</v>
      </c>
      <c r="G83" s="211"/>
      <c r="H83" s="212"/>
      <c r="I83" s="330">
        <f>+L84</f>
        <v>216600</v>
      </c>
      <c r="J83" s="330"/>
      <c r="K83" s="25" t="s">
        <v>195</v>
      </c>
      <c r="L83" s="77">
        <v>3800000</v>
      </c>
    </row>
    <row r="84" spans="1:13" ht="15" customHeight="1" x14ac:dyDescent="0.3">
      <c r="B84" s="209" t="s">
        <v>196</v>
      </c>
      <c r="C84" s="216"/>
      <c r="D84" s="20"/>
      <c r="E84" s="20"/>
      <c r="F84" s="210" t="s">
        <v>205</v>
      </c>
      <c r="G84" s="211"/>
      <c r="H84" s="212"/>
      <c r="I84" s="330">
        <v>3310000</v>
      </c>
      <c r="J84" s="330"/>
      <c r="K84" s="25" t="s">
        <v>198</v>
      </c>
      <c r="L84" s="97">
        <v>216600</v>
      </c>
    </row>
    <row r="85" spans="1:13" ht="15" customHeight="1" x14ac:dyDescent="0.25">
      <c r="B85" s="209" t="s">
        <v>199</v>
      </c>
      <c r="C85" s="20"/>
      <c r="D85" s="20"/>
      <c r="E85" s="20"/>
      <c r="F85" s="214" t="s">
        <v>206</v>
      </c>
      <c r="G85" s="214"/>
      <c r="H85" s="212"/>
      <c r="I85" s="330">
        <v>3310000</v>
      </c>
      <c r="J85" s="330"/>
      <c r="K85" s="25" t="s">
        <v>201</v>
      </c>
      <c r="L85" s="97">
        <v>3310000</v>
      </c>
    </row>
    <row r="86" spans="1:13" ht="15" customHeight="1" x14ac:dyDescent="0.25">
      <c r="B86" s="209" t="s">
        <v>202</v>
      </c>
      <c r="F86" s="214" t="s">
        <v>207</v>
      </c>
      <c r="G86" s="214"/>
      <c r="H86" s="212"/>
      <c r="I86" s="329">
        <f>L83-L85</f>
        <v>490000</v>
      </c>
      <c r="J86" s="329"/>
      <c r="L86" s="97"/>
    </row>
    <row r="87" spans="1:13" ht="15" customHeight="1" x14ac:dyDescent="0.25">
      <c r="L87" s="97"/>
    </row>
    <row r="88" spans="1:13" ht="15" customHeight="1" x14ac:dyDescent="0.25">
      <c r="C88" s="218"/>
      <c r="F88" s="219"/>
      <c r="G88" s="220"/>
      <c r="H88" s="220"/>
      <c r="K88" s="221" t="s">
        <v>208</v>
      </c>
      <c r="L88" s="97"/>
    </row>
    <row r="89" spans="1:13" ht="15" customHeight="1" x14ac:dyDescent="0.25">
      <c r="B89" s="207" t="s">
        <v>209</v>
      </c>
      <c r="C89" s="44" t="s">
        <v>210</v>
      </c>
      <c r="F89" s="121"/>
      <c r="G89" s="121"/>
      <c r="H89" s="222"/>
      <c r="K89" s="10" t="s">
        <v>8</v>
      </c>
      <c r="L89" s="97"/>
    </row>
    <row r="90" spans="1:13" ht="15" customHeight="1" x14ac:dyDescent="0.25">
      <c r="B90" s="207" t="s">
        <v>211</v>
      </c>
      <c r="C90" s="223" t="s">
        <v>212</v>
      </c>
      <c r="F90" s="45"/>
      <c r="G90" s="45"/>
      <c r="H90" s="9"/>
      <c r="K90" s="10" t="s">
        <v>213</v>
      </c>
    </row>
    <row r="91" spans="1:13" ht="15" customHeight="1" x14ac:dyDescent="0.25">
      <c r="B91" s="224" t="s">
        <v>214</v>
      </c>
      <c r="C91" s="223" t="s">
        <v>215</v>
      </c>
      <c r="F91" s="45"/>
      <c r="G91" s="45"/>
      <c r="H91" s="9"/>
      <c r="K91" s="225" t="s">
        <v>216</v>
      </c>
    </row>
    <row r="92" spans="1:13" ht="15" customHeight="1" x14ac:dyDescent="0.25">
      <c r="B92" s="224" t="s">
        <v>217</v>
      </c>
      <c r="C92" s="223" t="s">
        <v>218</v>
      </c>
      <c r="H92" s="9"/>
      <c r="K92" s="225" t="s">
        <v>219</v>
      </c>
    </row>
    <row r="93" spans="1:13" ht="15" customHeight="1" x14ac:dyDescent="0.25">
      <c r="B93" s="2"/>
      <c r="C93" s="144"/>
      <c r="D93" s="144"/>
      <c r="E93" s="2"/>
      <c r="G93" s="137"/>
      <c r="H93" s="9"/>
      <c r="K93" s="83" t="s">
        <v>220</v>
      </c>
    </row>
    <row r="94" spans="1:13" ht="15" customHeight="1" x14ac:dyDescent="0.25">
      <c r="B94" s="9"/>
      <c r="C94" s="9"/>
      <c r="D94" s="9"/>
      <c r="E94" s="9"/>
      <c r="K94" s="83" t="s">
        <v>221</v>
      </c>
    </row>
    <row r="95" spans="1:13" ht="15" customHeight="1" x14ac:dyDescent="0.25">
      <c r="E95" s="226"/>
      <c r="F95" s="20"/>
      <c r="K95" s="225" t="s">
        <v>222</v>
      </c>
    </row>
    <row r="96" spans="1:13" ht="15" customHeight="1" x14ac:dyDescent="0.25">
      <c r="F96" s="227"/>
      <c r="K96" s="228" t="s">
        <v>223</v>
      </c>
    </row>
    <row r="97" spans="1:14" ht="15" customHeight="1" x14ac:dyDescent="0.25">
      <c r="E97" s="9"/>
      <c r="K97" s="228" t="s">
        <v>224</v>
      </c>
    </row>
    <row r="98" spans="1:14" ht="15" customHeight="1" x14ac:dyDescent="0.25">
      <c r="F98" s="20"/>
      <c r="K98" s="225" t="s">
        <v>225</v>
      </c>
    </row>
    <row r="99" spans="1:14" ht="15" customHeight="1" x14ac:dyDescent="0.25">
      <c r="E99" s="9"/>
      <c r="F99" s="227"/>
      <c r="K99" s="83" t="s">
        <v>226</v>
      </c>
    </row>
    <row r="100" spans="1:14" ht="15" customHeight="1" x14ac:dyDescent="0.25">
      <c r="K100" s="83" t="s">
        <v>227</v>
      </c>
    </row>
    <row r="101" spans="1:14" ht="15" customHeight="1" x14ac:dyDescent="0.25">
      <c r="K101" s="73" t="s">
        <v>228</v>
      </c>
    </row>
    <row r="103" spans="1:14" ht="15" customHeight="1" x14ac:dyDescent="0.25">
      <c r="B103" s="229" t="s">
        <v>229</v>
      </c>
      <c r="C103" s="230"/>
      <c r="D103" s="230"/>
      <c r="E103" s="230"/>
      <c r="F103" s="230"/>
      <c r="G103" s="231" t="s">
        <v>230</v>
      </c>
      <c r="H103" s="232">
        <f>+H115+H127+H137</f>
        <v>511006</v>
      </c>
      <c r="K103" s="25" t="s">
        <v>231</v>
      </c>
      <c r="L103" s="233">
        <v>0.1</v>
      </c>
      <c r="N103" s="234"/>
    </row>
    <row r="104" spans="1:14" ht="15" customHeight="1" x14ac:dyDescent="0.25">
      <c r="B104" s="235" t="s">
        <v>232</v>
      </c>
      <c r="C104" s="236"/>
      <c r="D104" s="236"/>
      <c r="E104" s="236"/>
      <c r="F104" s="236"/>
      <c r="G104" s="237"/>
      <c r="H104" s="238"/>
      <c r="K104" s="25" t="s">
        <v>233</v>
      </c>
      <c r="L104" s="233">
        <v>0.115</v>
      </c>
      <c r="M104" s="9"/>
      <c r="N104" s="234"/>
    </row>
    <row r="105" spans="1:14" ht="15" customHeight="1" x14ac:dyDescent="0.25">
      <c r="B105" s="239" t="s">
        <v>234</v>
      </c>
      <c r="C105" s="236"/>
      <c r="D105" s="236"/>
      <c r="E105" s="9">
        <f>H105-(490000*L105)</f>
        <v>3765407.1</v>
      </c>
      <c r="G105" s="240"/>
      <c r="H105" s="9">
        <f>+H61</f>
        <v>3824011.1</v>
      </c>
      <c r="K105" s="25" t="s">
        <v>235</v>
      </c>
      <c r="L105" s="233">
        <f>11.5%*1.04</f>
        <v>0.11960000000000001</v>
      </c>
    </row>
    <row r="106" spans="1:14" ht="15" customHeight="1" x14ac:dyDescent="0.25">
      <c r="B106" s="239" t="s">
        <v>236</v>
      </c>
      <c r="C106" s="236"/>
      <c r="D106" s="236"/>
      <c r="E106" s="9">
        <f>+H106</f>
        <v>-1018500</v>
      </c>
      <c r="G106" s="240"/>
      <c r="H106" s="9">
        <f>+G68*-1</f>
        <v>-1018500</v>
      </c>
    </row>
    <row r="107" spans="1:14" ht="15" customHeight="1" thickBot="1" x14ac:dyDescent="0.3">
      <c r="B107" s="239" t="s">
        <v>237</v>
      </c>
      <c r="C107" s="236"/>
      <c r="D107" s="236"/>
      <c r="E107" s="241">
        <f>SUM(E105:E106)</f>
        <v>2746907.1</v>
      </c>
      <c r="G107" s="240"/>
      <c r="H107" s="241">
        <f>SUM(H105:H106)</f>
        <v>2805511.1</v>
      </c>
    </row>
    <row r="108" spans="1:14" ht="15" customHeight="1" thickTop="1" x14ac:dyDescent="0.25">
      <c r="C108" s="236"/>
      <c r="D108" s="236"/>
      <c r="E108" s="9">
        <f>+E107</f>
        <v>2746907.1</v>
      </c>
      <c r="G108" s="242">
        <f>IF(G107&gt;10000,G107,0)</f>
        <v>0</v>
      </c>
      <c r="H108" s="9">
        <f>+H107</f>
        <v>2805511.1</v>
      </c>
    </row>
    <row r="109" spans="1:14" ht="19.8" customHeight="1" x14ac:dyDescent="0.25">
      <c r="B109" s="243" t="s">
        <v>238</v>
      </c>
      <c r="C109" s="244" t="s">
        <v>239</v>
      </c>
      <c r="D109" s="244" t="s">
        <v>240</v>
      </c>
      <c r="E109" s="244" t="s">
        <v>241</v>
      </c>
      <c r="F109" s="245" t="s">
        <v>242</v>
      </c>
      <c r="G109" s="246" t="s">
        <v>243</v>
      </c>
      <c r="H109" s="244" t="s">
        <v>244</v>
      </c>
    </row>
    <row r="110" spans="1:14" ht="15" customHeight="1" x14ac:dyDescent="0.25">
      <c r="A110" s="247">
        <v>1</v>
      </c>
      <c r="B110" s="248"/>
      <c r="C110" s="249"/>
      <c r="D110" s="248">
        <v>44362</v>
      </c>
      <c r="E110" s="240">
        <f>(E108*0.15)</f>
        <v>412036.065</v>
      </c>
      <c r="F110" s="240">
        <f>ROUNDDOWN(+E110,-2)</f>
        <v>412000</v>
      </c>
      <c r="G110" s="240">
        <f>(F110-C110)</f>
        <v>412000</v>
      </c>
      <c r="H110" s="250">
        <f>IF(G110&gt;0,G110*0.12/12*3,0)</f>
        <v>12360</v>
      </c>
      <c r="I110" s="331"/>
      <c r="J110" s="331"/>
      <c r="K110" s="251"/>
      <c r="M110" s="9"/>
    </row>
    <row r="111" spans="1:14" ht="15" customHeight="1" x14ac:dyDescent="0.25">
      <c r="A111" s="247">
        <v>2</v>
      </c>
      <c r="C111" s="249">
        <f>+G88</f>
        <v>0</v>
      </c>
      <c r="D111" s="248">
        <v>44454</v>
      </c>
      <c r="E111" s="240">
        <f>H108*0.45</f>
        <v>1262479.9950000001</v>
      </c>
      <c r="F111" s="240">
        <f>ROUNDDOWN(+E111,-2)</f>
        <v>1262400</v>
      </c>
      <c r="G111" s="240">
        <f>(F111-C111-C110)</f>
        <v>1262400</v>
      </c>
      <c r="H111" s="250">
        <f>IF(G111&gt;0,G111*0.12/12*3,0)</f>
        <v>37872</v>
      </c>
      <c r="J111" s="59"/>
      <c r="K111" s="252"/>
      <c r="L111" s="10">
        <f>L109-L110</f>
        <v>0</v>
      </c>
    </row>
    <row r="112" spans="1:14" ht="15" customHeight="1" x14ac:dyDescent="0.25">
      <c r="A112" s="247">
        <v>3</v>
      </c>
      <c r="B112" s="248">
        <v>44545</v>
      </c>
      <c r="C112" s="249">
        <v>118000</v>
      </c>
      <c r="D112" s="248">
        <v>44545</v>
      </c>
      <c r="E112" s="240">
        <f>H108*0.75</f>
        <v>2104133.3250000002</v>
      </c>
      <c r="F112" s="240">
        <f>ROUNDDOWN(+E112,-2)</f>
        <v>2104100</v>
      </c>
      <c r="G112" s="240">
        <f>(F112-(C110+C111+C112))</f>
        <v>1986100</v>
      </c>
      <c r="H112" s="250">
        <f>IF(G112&gt;0,G112*0.12/12*3,0)</f>
        <v>59583</v>
      </c>
      <c r="J112" s="59"/>
      <c r="K112" s="252"/>
    </row>
    <row r="113" spans="1:13" ht="15" customHeight="1" x14ac:dyDescent="0.25">
      <c r="A113" s="247">
        <v>4</v>
      </c>
      <c r="B113" s="248">
        <v>44610</v>
      </c>
      <c r="C113" s="249">
        <v>10000</v>
      </c>
      <c r="D113" s="248">
        <v>44635</v>
      </c>
      <c r="E113" s="240">
        <f>H108*1</f>
        <v>2805511.1</v>
      </c>
      <c r="F113" s="240">
        <f>ROUNDDOWN(+E113,-2)</f>
        <v>2805500</v>
      </c>
      <c r="G113" s="240">
        <f>(F113-(C110+C111+C112+C113))</f>
        <v>2677500</v>
      </c>
      <c r="H113" s="250">
        <f>IF(G113&gt;0,G113*0.12/12,0)</f>
        <v>26775</v>
      </c>
      <c r="J113" s="59"/>
      <c r="K113" s="252"/>
      <c r="L113" s="2"/>
    </row>
    <row r="114" spans="1:13" ht="15" customHeight="1" x14ac:dyDescent="0.25">
      <c r="A114" s="247">
        <v>5</v>
      </c>
      <c r="B114" s="248"/>
      <c r="C114" s="249"/>
      <c r="D114" s="248">
        <v>44651</v>
      </c>
      <c r="F114" s="253"/>
      <c r="G114" s="254"/>
      <c r="H114" s="252"/>
      <c r="M114" s="9"/>
    </row>
    <row r="115" spans="1:13" ht="15" customHeight="1" thickBot="1" x14ac:dyDescent="0.3">
      <c r="B115" s="236"/>
      <c r="C115" s="255">
        <f>SUM(C110:C114)</f>
        <v>128000</v>
      </c>
      <c r="D115" s="236"/>
      <c r="E115" s="236"/>
      <c r="F115" s="236"/>
      <c r="G115" s="236"/>
      <c r="H115" s="256">
        <f>SUM(H110:H114)</f>
        <v>136590</v>
      </c>
      <c r="J115" s="2"/>
    </row>
    <row r="116" spans="1:13" ht="15" customHeight="1" thickTop="1" thickBot="1" x14ac:dyDescent="0.3">
      <c r="A116" s="257"/>
      <c r="B116" s="258"/>
      <c r="C116" s="259"/>
      <c r="D116" s="258"/>
      <c r="E116" s="258"/>
      <c r="F116" s="258"/>
      <c r="G116" s="258"/>
      <c r="H116" s="258"/>
      <c r="J116" s="2"/>
    </row>
    <row r="117" spans="1:13" ht="15" customHeight="1" x14ac:dyDescent="0.25">
      <c r="B117" s="235" t="s">
        <v>250</v>
      </c>
      <c r="C117" s="260"/>
      <c r="D117" s="236"/>
      <c r="E117" s="236"/>
      <c r="F117" s="236"/>
      <c r="G117" s="236"/>
      <c r="H117" s="261" t="s">
        <v>244</v>
      </c>
      <c r="J117" s="2"/>
    </row>
    <row r="118" spans="1:13" ht="15" customHeight="1" x14ac:dyDescent="0.25">
      <c r="B118" s="239" t="s">
        <v>234</v>
      </c>
      <c r="C118" s="236"/>
      <c r="D118" s="236"/>
      <c r="E118" s="240">
        <f>+H105</f>
        <v>3824011.1</v>
      </c>
      <c r="F118" s="236"/>
      <c r="G118" s="262">
        <v>44652</v>
      </c>
      <c r="H118" s="250">
        <v>26744</v>
      </c>
      <c r="J118" s="2"/>
    </row>
    <row r="119" spans="1:13" ht="15" customHeight="1" x14ac:dyDescent="0.25">
      <c r="B119" s="263" t="s">
        <v>236</v>
      </c>
      <c r="C119" s="236"/>
      <c r="D119" s="236"/>
      <c r="E119" s="240">
        <f>+H106</f>
        <v>-1018500</v>
      </c>
      <c r="F119" s="236"/>
      <c r="G119" s="262">
        <v>44682</v>
      </c>
      <c r="H119" s="250">
        <f>+H118</f>
        <v>26744</v>
      </c>
      <c r="J119" s="2"/>
    </row>
    <row r="120" spans="1:13" ht="15" customHeight="1" thickBot="1" x14ac:dyDescent="0.3">
      <c r="B120" s="263"/>
      <c r="C120" s="236"/>
      <c r="D120" s="236"/>
      <c r="E120" s="264">
        <f>E118+E119</f>
        <v>2805511.1</v>
      </c>
      <c r="G120" s="262">
        <v>44713</v>
      </c>
      <c r="H120" s="250">
        <f t="shared" ref="H120:H124" si="0">+H119</f>
        <v>26744</v>
      </c>
      <c r="J120" s="2"/>
    </row>
    <row r="121" spans="1:13" ht="15" customHeight="1" thickTop="1" x14ac:dyDescent="0.25">
      <c r="F121" s="236"/>
      <c r="G121" s="262">
        <v>44743</v>
      </c>
      <c r="H121" s="250">
        <f t="shared" si="0"/>
        <v>26744</v>
      </c>
      <c r="J121" s="2"/>
    </row>
    <row r="122" spans="1:13" ht="15" customHeight="1" x14ac:dyDescent="0.25">
      <c r="B122" s="236" t="s">
        <v>251</v>
      </c>
      <c r="C122" s="260"/>
      <c r="D122" s="265">
        <v>0.9</v>
      </c>
      <c r="E122" s="266">
        <f>ROUND(E120*90%,0)</f>
        <v>2524960</v>
      </c>
      <c r="F122" s="236"/>
      <c r="G122" s="262">
        <v>44774</v>
      </c>
      <c r="H122" s="250">
        <f t="shared" si="0"/>
        <v>26744</v>
      </c>
      <c r="J122" s="2"/>
    </row>
    <row r="123" spans="1:13" ht="15" customHeight="1" x14ac:dyDescent="0.25">
      <c r="B123" s="236" t="s">
        <v>252</v>
      </c>
      <c r="C123" s="260"/>
      <c r="D123" s="236"/>
      <c r="E123" s="240">
        <f>ROUND(+C115,0)</f>
        <v>128000</v>
      </c>
      <c r="F123" s="236"/>
      <c r="G123" s="262">
        <v>44805</v>
      </c>
      <c r="H123" s="250">
        <f t="shared" si="0"/>
        <v>26744</v>
      </c>
      <c r="I123" s="325"/>
      <c r="J123" s="325"/>
      <c r="K123" s="122"/>
    </row>
    <row r="124" spans="1:13" ht="15" customHeight="1" x14ac:dyDescent="0.25">
      <c r="B124" s="10" t="s">
        <v>254</v>
      </c>
      <c r="C124" s="260"/>
      <c r="D124" s="236"/>
      <c r="E124" s="240">
        <f>E120-E123</f>
        <v>2677511.1</v>
      </c>
      <c r="F124" s="240">
        <f>ROUNDDOWN(E124,-2)</f>
        <v>2677500</v>
      </c>
      <c r="G124" s="262">
        <v>44835</v>
      </c>
      <c r="H124" s="250">
        <f t="shared" si="0"/>
        <v>26744</v>
      </c>
      <c r="J124" s="77"/>
      <c r="K124" s="267"/>
    </row>
    <row r="125" spans="1:13" ht="15" customHeight="1" x14ac:dyDescent="0.25">
      <c r="B125" s="215"/>
      <c r="C125" s="236" t="s">
        <v>255</v>
      </c>
      <c r="D125" s="236"/>
      <c r="E125" s="268">
        <f>+G77</f>
        <v>0</v>
      </c>
      <c r="F125" s="236"/>
      <c r="G125" s="262">
        <v>44866</v>
      </c>
      <c r="H125" s="250">
        <v>26744</v>
      </c>
      <c r="J125" s="77"/>
      <c r="K125" s="267"/>
    </row>
    <row r="126" spans="1:13" ht="15" customHeight="1" x14ac:dyDescent="0.25">
      <c r="C126" s="19" t="s">
        <v>256</v>
      </c>
      <c r="E126" s="268"/>
      <c r="F126" s="236"/>
      <c r="G126" s="262">
        <v>44896</v>
      </c>
      <c r="H126" s="250">
        <v>26744</v>
      </c>
      <c r="J126" s="77"/>
      <c r="K126" s="267"/>
    </row>
    <row r="127" spans="1:13" ht="15" customHeight="1" thickBot="1" x14ac:dyDescent="0.3">
      <c r="C127" s="239" t="s">
        <v>257</v>
      </c>
      <c r="E127" s="270">
        <f>+E124</f>
        <v>2677511.1</v>
      </c>
      <c r="F127" s="236"/>
      <c r="G127" s="236"/>
      <c r="H127" s="256">
        <f>SUM(H118:H126)</f>
        <v>240696</v>
      </c>
      <c r="J127" s="2"/>
    </row>
    <row r="128" spans="1:13" ht="15" customHeight="1" thickTop="1" x14ac:dyDescent="0.25">
      <c r="B128" s="10" t="s">
        <v>258</v>
      </c>
      <c r="C128" s="239"/>
      <c r="E128" s="271">
        <f>E124-E125</f>
        <v>2677511.1</v>
      </c>
      <c r="F128" s="240">
        <f>ROUNDDOWN(E128,-2)</f>
        <v>2677500</v>
      </c>
      <c r="G128" s="236"/>
      <c r="H128" s="269"/>
      <c r="J128" s="2"/>
    </row>
    <row r="129" spans="1:12" ht="15" customHeight="1" thickBot="1" x14ac:dyDescent="0.3">
      <c r="A129" s="257"/>
      <c r="B129" s="272"/>
      <c r="C129" s="273"/>
      <c r="D129" s="272"/>
      <c r="E129" s="274"/>
      <c r="F129" s="275"/>
      <c r="G129" s="258"/>
      <c r="H129" s="276"/>
      <c r="J129" s="2"/>
    </row>
    <row r="130" spans="1:12" ht="15" customHeight="1" x14ac:dyDescent="0.25">
      <c r="B130" s="235" t="s">
        <v>259</v>
      </c>
      <c r="C130" s="277"/>
      <c r="D130" s="277"/>
      <c r="E130" s="277"/>
      <c r="F130" s="277"/>
      <c r="G130" s="277"/>
      <c r="H130" s="277"/>
      <c r="I130" s="277"/>
      <c r="J130" s="269"/>
    </row>
    <row r="131" spans="1:12" ht="15" customHeight="1" x14ac:dyDescent="0.25">
      <c r="B131" s="239" t="s">
        <v>234</v>
      </c>
      <c r="C131" s="236"/>
      <c r="D131" s="236"/>
      <c r="E131" s="240">
        <f>+E118</f>
        <v>3824011.1</v>
      </c>
      <c r="F131" s="277"/>
      <c r="G131" s="236"/>
      <c r="H131" s="261" t="s">
        <v>244</v>
      </c>
      <c r="I131" s="277"/>
      <c r="J131" s="269"/>
    </row>
    <row r="132" spans="1:12" ht="15" customHeight="1" x14ac:dyDescent="0.25">
      <c r="B132" s="263" t="s">
        <v>236</v>
      </c>
      <c r="C132" s="236"/>
      <c r="D132" s="236"/>
      <c r="E132" s="240">
        <f>+E119</f>
        <v>-1018500</v>
      </c>
      <c r="F132" s="277"/>
      <c r="G132" s="262">
        <v>44774</v>
      </c>
      <c r="H132" s="250">
        <v>26744</v>
      </c>
      <c r="I132" s="277"/>
      <c r="J132" s="269"/>
    </row>
    <row r="133" spans="1:12" ht="15" customHeight="1" x14ac:dyDescent="0.25">
      <c r="B133" s="263" t="s">
        <v>260</v>
      </c>
      <c r="C133" s="236"/>
      <c r="D133" s="236"/>
      <c r="E133" s="271">
        <v>-128000</v>
      </c>
      <c r="F133" s="277"/>
      <c r="G133" s="262">
        <v>44805</v>
      </c>
      <c r="H133" s="250">
        <f>+H132</f>
        <v>26744</v>
      </c>
      <c r="I133" s="326"/>
      <c r="J133" s="326"/>
      <c r="K133" s="278"/>
    </row>
    <row r="134" spans="1:12" ht="15" customHeight="1" x14ac:dyDescent="0.25">
      <c r="B134" s="263" t="s">
        <v>262</v>
      </c>
      <c r="C134" s="236"/>
      <c r="D134" s="236"/>
      <c r="E134" s="51"/>
      <c r="F134" s="277"/>
      <c r="G134" s="262">
        <v>44835</v>
      </c>
      <c r="H134" s="250">
        <f>+H133</f>
        <v>26744</v>
      </c>
      <c r="I134" s="277"/>
      <c r="J134" s="279"/>
      <c r="K134" s="280"/>
    </row>
    <row r="135" spans="1:12" ht="15" customHeight="1" x14ac:dyDescent="0.25">
      <c r="B135" s="263"/>
      <c r="C135" s="236"/>
      <c r="D135" s="236"/>
      <c r="E135" s="51"/>
      <c r="F135" s="277"/>
      <c r="G135" s="262">
        <v>44866</v>
      </c>
      <c r="H135" s="250">
        <v>26744</v>
      </c>
      <c r="I135" s="277"/>
      <c r="J135" s="279"/>
      <c r="K135" s="280"/>
    </row>
    <row r="136" spans="1:12" ht="15" customHeight="1" x14ac:dyDescent="0.25">
      <c r="B136" s="263"/>
      <c r="C136" s="236"/>
      <c r="D136" s="236"/>
      <c r="E136" s="9"/>
      <c r="F136" s="277"/>
      <c r="G136" s="262">
        <v>44896</v>
      </c>
      <c r="H136" s="250">
        <v>26744</v>
      </c>
      <c r="I136" s="277"/>
      <c r="J136" s="279"/>
      <c r="K136" s="280"/>
    </row>
    <row r="137" spans="1:12" ht="15" customHeight="1" thickBot="1" x14ac:dyDescent="0.3">
      <c r="E137" s="264">
        <f>SUM(E131:E136)</f>
        <v>2677511.1</v>
      </c>
      <c r="F137" s="277"/>
      <c r="G137" s="281"/>
      <c r="H137" s="256">
        <f>SUM(H132:H136)</f>
        <v>133720</v>
      </c>
      <c r="I137" s="277"/>
      <c r="J137" s="269"/>
    </row>
    <row r="138" spans="1:12" ht="15" customHeight="1" thickTop="1" x14ac:dyDescent="0.25">
      <c r="C138" s="236"/>
      <c r="D138" s="236"/>
      <c r="E138" s="240">
        <f>ROUNDDOWN(+E137,-2)</f>
        <v>2677500</v>
      </c>
      <c r="F138" s="240">
        <f>ROUNDDOWN(E138,-2)</f>
        <v>2677500</v>
      </c>
      <c r="G138" s="277"/>
      <c r="H138" s="277"/>
      <c r="I138" s="277"/>
      <c r="J138" s="269"/>
    </row>
    <row r="139" spans="1:12" ht="15" customHeight="1" thickBot="1" x14ac:dyDescent="0.3">
      <c r="C139" s="236"/>
      <c r="D139" s="236"/>
      <c r="E139" s="240"/>
      <c r="F139" s="277"/>
      <c r="G139" s="277"/>
      <c r="H139" s="277"/>
      <c r="I139" s="277"/>
      <c r="J139" s="269"/>
    </row>
    <row r="140" spans="1:12" s="38" customFormat="1" ht="15" customHeight="1" x14ac:dyDescent="0.25">
      <c r="A140" s="282" t="s">
        <v>263</v>
      </c>
      <c r="B140" s="283"/>
      <c r="C140" s="283"/>
      <c r="D140" s="283"/>
      <c r="E140" s="283"/>
      <c r="F140" s="283"/>
      <c r="G140" s="327" t="s">
        <v>264</v>
      </c>
      <c r="H140" s="328"/>
      <c r="J140" s="58"/>
      <c r="K140" s="284"/>
      <c r="L140" s="206"/>
    </row>
    <row r="141" spans="1:12" s="38" customFormat="1" ht="15" customHeight="1" x14ac:dyDescent="0.25">
      <c r="A141" s="285" t="s">
        <v>265</v>
      </c>
      <c r="H141" s="143"/>
      <c r="J141" s="58"/>
      <c r="K141" s="286"/>
      <c r="L141" s="206"/>
    </row>
    <row r="142" spans="1:12" s="38" customFormat="1" ht="15" customHeight="1" x14ac:dyDescent="0.25">
      <c r="A142" s="285" t="s">
        <v>266</v>
      </c>
      <c r="H142" s="143"/>
      <c r="J142" s="58"/>
      <c r="K142" s="286"/>
      <c r="L142" s="206"/>
    </row>
    <row r="143" spans="1:12" s="38" customFormat="1" ht="15" customHeight="1" x14ac:dyDescent="0.2">
      <c r="A143" s="287" t="s">
        <v>267</v>
      </c>
      <c r="B143" s="318" t="s">
        <v>268</v>
      </c>
      <c r="C143" s="318"/>
      <c r="D143" s="318"/>
      <c r="E143" s="318"/>
      <c r="F143" s="318"/>
      <c r="G143" s="318"/>
      <c r="H143" s="319"/>
      <c r="I143" s="20"/>
      <c r="J143" s="58"/>
      <c r="K143" s="289" t="s">
        <v>269</v>
      </c>
      <c r="L143" s="206"/>
    </row>
    <row r="144" spans="1:12" s="38" customFormat="1" ht="26.25" customHeight="1" x14ac:dyDescent="0.2">
      <c r="A144" s="287" t="s">
        <v>270</v>
      </c>
      <c r="B144" s="318" t="s">
        <v>271</v>
      </c>
      <c r="C144" s="318"/>
      <c r="D144" s="318"/>
      <c r="E144" s="318"/>
      <c r="F144" s="318"/>
      <c r="G144" s="318"/>
      <c r="H144" s="319"/>
      <c r="I144" s="20"/>
      <c r="J144" s="58"/>
      <c r="K144" s="289" t="s">
        <v>272</v>
      </c>
      <c r="L144" s="206"/>
    </row>
    <row r="145" spans="1:12" s="38" customFormat="1" ht="26.25" customHeight="1" x14ac:dyDescent="0.2">
      <c r="A145" s="287" t="s">
        <v>273</v>
      </c>
      <c r="B145" s="318" t="s">
        <v>274</v>
      </c>
      <c r="C145" s="318"/>
      <c r="D145" s="318"/>
      <c r="E145" s="318"/>
      <c r="F145" s="318"/>
      <c r="G145" s="318"/>
      <c r="H145" s="319"/>
      <c r="I145" s="20"/>
      <c r="J145" s="58"/>
      <c r="K145" s="289" t="s">
        <v>275</v>
      </c>
      <c r="L145" s="206"/>
    </row>
    <row r="146" spans="1:12" s="38" customFormat="1" ht="26.25" customHeight="1" x14ac:dyDescent="0.2">
      <c r="A146" s="287" t="s">
        <v>276</v>
      </c>
      <c r="B146" s="318" t="s">
        <v>277</v>
      </c>
      <c r="C146" s="318"/>
      <c r="D146" s="318"/>
      <c r="E146" s="318"/>
      <c r="F146" s="318"/>
      <c r="G146" s="318"/>
      <c r="H146" s="319"/>
      <c r="I146" s="20"/>
      <c r="J146" s="58"/>
      <c r="K146" s="289" t="s">
        <v>278</v>
      </c>
      <c r="L146" s="206"/>
    </row>
    <row r="147" spans="1:12" s="38" customFormat="1" ht="15" customHeight="1" x14ac:dyDescent="0.2">
      <c r="A147" s="287" t="s">
        <v>279</v>
      </c>
      <c r="B147" s="318" t="s">
        <v>280</v>
      </c>
      <c r="C147" s="318"/>
      <c r="D147" s="318"/>
      <c r="E147" s="318"/>
      <c r="F147" s="318"/>
      <c r="G147" s="318"/>
      <c r="H147" s="319"/>
      <c r="I147" s="20"/>
      <c r="J147" s="58"/>
      <c r="K147" s="289" t="s">
        <v>281</v>
      </c>
      <c r="L147" s="206"/>
    </row>
    <row r="148" spans="1:12" s="38" customFormat="1" ht="15" customHeight="1" x14ac:dyDescent="0.2">
      <c r="A148" s="287" t="s">
        <v>282</v>
      </c>
      <c r="B148" s="318" t="s">
        <v>283</v>
      </c>
      <c r="C148" s="318"/>
      <c r="D148" s="318"/>
      <c r="E148" s="318"/>
      <c r="F148" s="318"/>
      <c r="G148" s="318"/>
      <c r="H148" s="319"/>
      <c r="I148" s="20"/>
      <c r="J148" s="58"/>
      <c r="K148" s="289" t="s">
        <v>284</v>
      </c>
      <c r="L148" s="206"/>
    </row>
    <row r="149" spans="1:12" s="38" customFormat="1" ht="25.5" customHeight="1" x14ac:dyDescent="0.2">
      <c r="A149" s="290"/>
      <c r="B149" s="320" t="s">
        <v>285</v>
      </c>
      <c r="C149" s="320"/>
      <c r="D149" s="320"/>
      <c r="E149" s="320"/>
      <c r="F149" s="320"/>
      <c r="G149" s="320"/>
      <c r="H149" s="321"/>
      <c r="J149" s="58"/>
    </row>
    <row r="150" spans="1:12" s="38" customFormat="1" ht="15" customHeight="1" thickBot="1" x14ac:dyDescent="0.25">
      <c r="A150" s="291"/>
      <c r="B150" s="322" t="s">
        <v>286</v>
      </c>
      <c r="C150" s="322"/>
      <c r="D150" s="322"/>
      <c r="E150" s="322"/>
      <c r="F150" s="322"/>
      <c r="G150" s="322"/>
      <c r="H150" s="292"/>
      <c r="J150" s="58"/>
    </row>
    <row r="151" spans="1:12" s="38" customFormat="1" ht="15" customHeight="1" thickBot="1" x14ac:dyDescent="0.25">
      <c r="A151" s="213"/>
      <c r="B151" s="288"/>
      <c r="C151" s="288"/>
      <c r="D151" s="288"/>
      <c r="E151" s="288"/>
      <c r="F151" s="288"/>
      <c r="G151" s="288"/>
      <c r="J151" s="58"/>
    </row>
    <row r="152" spans="1:12" s="38" customFormat="1" ht="15" customHeight="1" x14ac:dyDescent="0.25">
      <c r="A152" s="282" t="s">
        <v>263</v>
      </c>
      <c r="B152" s="293"/>
      <c r="C152" s="293"/>
      <c r="D152" s="293"/>
      <c r="E152" s="293"/>
      <c r="F152" s="293"/>
      <c r="G152" s="323" t="s">
        <v>287</v>
      </c>
      <c r="H152" s="324"/>
      <c r="J152" s="58"/>
    </row>
    <row r="153" spans="1:12" ht="15" customHeight="1" x14ac:dyDescent="0.25">
      <c r="A153" s="285" t="s">
        <v>288</v>
      </c>
      <c r="C153" s="294"/>
      <c r="D153" s="294"/>
      <c r="E153" s="294"/>
      <c r="F153" s="295"/>
      <c r="G153" s="296"/>
      <c r="H153" s="152"/>
      <c r="J153" s="58"/>
    </row>
    <row r="154" spans="1:12" ht="15" customHeight="1" x14ac:dyDescent="0.25">
      <c r="A154" s="285" t="s">
        <v>289</v>
      </c>
      <c r="C154" s="294"/>
      <c r="D154" s="294"/>
      <c r="E154" s="294"/>
      <c r="F154" s="295"/>
      <c r="G154" s="296"/>
      <c r="H154" s="152"/>
      <c r="J154" s="58"/>
    </row>
    <row r="155" spans="1:12" ht="15" customHeight="1" x14ac:dyDescent="0.25">
      <c r="A155" s="18"/>
      <c r="B155" s="297" t="s">
        <v>290</v>
      </c>
      <c r="D155" s="297" t="s">
        <v>291</v>
      </c>
      <c r="F155" s="295"/>
      <c r="G155" s="296"/>
      <c r="H155" s="152"/>
      <c r="J155" s="58"/>
    </row>
    <row r="156" spans="1:12" ht="15" customHeight="1" x14ac:dyDescent="0.25">
      <c r="A156" s="18"/>
      <c r="B156" s="297" t="s">
        <v>292</v>
      </c>
      <c r="D156" s="297" t="s">
        <v>293</v>
      </c>
      <c r="F156" s="295"/>
      <c r="G156" s="296"/>
      <c r="H156" s="152"/>
      <c r="J156" s="58"/>
    </row>
    <row r="157" spans="1:12" ht="15" customHeight="1" x14ac:dyDescent="0.25">
      <c r="A157" s="18"/>
      <c r="B157" s="297" t="s">
        <v>294</v>
      </c>
      <c r="D157" s="297" t="s">
        <v>295</v>
      </c>
      <c r="F157" s="295"/>
      <c r="G157" s="296"/>
      <c r="H157" s="152"/>
      <c r="J157" s="58"/>
    </row>
    <row r="158" spans="1:12" ht="15" customHeight="1" x14ac:dyDescent="0.25">
      <c r="A158" s="18"/>
      <c r="B158" s="298" t="s">
        <v>296</v>
      </c>
      <c r="D158" s="297" t="s">
        <v>297</v>
      </c>
      <c r="F158" s="295"/>
      <c r="G158" s="296"/>
      <c r="H158" s="152"/>
      <c r="J158" s="58"/>
    </row>
    <row r="159" spans="1:12" ht="15" customHeight="1" x14ac:dyDescent="0.25">
      <c r="A159" s="18"/>
      <c r="B159" s="297" t="s">
        <v>298</v>
      </c>
      <c r="D159" s="297" t="s">
        <v>299</v>
      </c>
      <c r="F159" s="295"/>
      <c r="G159" s="296"/>
      <c r="H159" s="152"/>
      <c r="J159" s="58"/>
    </row>
    <row r="160" spans="1:12" ht="15" customHeight="1" x14ac:dyDescent="0.25">
      <c r="A160" s="18"/>
      <c r="B160" s="297" t="s">
        <v>300</v>
      </c>
      <c r="D160" s="297" t="s">
        <v>301</v>
      </c>
      <c r="F160" s="295"/>
      <c r="G160" s="296"/>
      <c r="H160" s="152"/>
      <c r="J160" s="2"/>
    </row>
    <row r="161" spans="1:10" ht="15" customHeight="1" x14ac:dyDescent="0.25">
      <c r="A161" s="18"/>
      <c r="B161" s="298" t="s">
        <v>302</v>
      </c>
      <c r="D161" s="297" t="s">
        <v>303</v>
      </c>
      <c r="F161" s="295"/>
      <c r="G161" s="296"/>
      <c r="H161" s="152"/>
      <c r="J161" s="2"/>
    </row>
    <row r="162" spans="1:10" ht="15" customHeight="1" thickBot="1" x14ac:dyDescent="0.3">
      <c r="A162" s="299"/>
      <c r="B162" s="300" t="s">
        <v>304</v>
      </c>
      <c r="C162" s="272"/>
      <c r="D162" s="300" t="s">
        <v>305</v>
      </c>
      <c r="E162" s="272"/>
      <c r="F162" s="272"/>
      <c r="G162" s="272"/>
      <c r="H162" s="301"/>
      <c r="J162" s="2"/>
    </row>
    <row r="163" spans="1:10" ht="15" customHeight="1" thickBot="1" x14ac:dyDescent="0.3">
      <c r="J163" s="2"/>
    </row>
    <row r="164" spans="1:10" ht="15" customHeight="1" x14ac:dyDescent="0.25">
      <c r="B164" s="302" t="s">
        <v>306</v>
      </c>
      <c r="C164" s="303"/>
      <c r="D164" s="304"/>
      <c r="E164" s="305" t="s">
        <v>307</v>
      </c>
      <c r="F164" s="306"/>
      <c r="G164" s="305" t="s">
        <v>308</v>
      </c>
      <c r="H164" s="307"/>
      <c r="J164" s="2"/>
    </row>
    <row r="165" spans="1:10" ht="15" customHeight="1" x14ac:dyDescent="0.25">
      <c r="B165" s="308" t="s">
        <v>9</v>
      </c>
      <c r="C165" s="236"/>
      <c r="D165" s="261"/>
      <c r="E165" s="309" t="s">
        <v>309</v>
      </c>
      <c r="G165" s="309" t="s">
        <v>310</v>
      </c>
      <c r="H165" s="152"/>
      <c r="J165" s="2"/>
    </row>
    <row r="166" spans="1:10" ht="15" customHeight="1" x14ac:dyDescent="0.25">
      <c r="B166" s="308" t="s">
        <v>311</v>
      </c>
      <c r="C166" s="236"/>
      <c r="D166" s="261"/>
      <c r="E166" s="309" t="s">
        <v>312</v>
      </c>
      <c r="G166" s="309" t="s">
        <v>313</v>
      </c>
      <c r="H166" s="152"/>
      <c r="J166" s="2"/>
    </row>
    <row r="167" spans="1:10" ht="15" customHeight="1" x14ac:dyDescent="0.25">
      <c r="B167" s="308" t="s">
        <v>26</v>
      </c>
      <c r="C167" s="236"/>
      <c r="D167" s="261"/>
      <c r="E167" s="309" t="s">
        <v>314</v>
      </c>
      <c r="H167" s="152"/>
      <c r="J167" s="2"/>
    </row>
    <row r="168" spans="1:10" ht="15" customHeight="1" x14ac:dyDescent="0.25">
      <c r="B168" s="308" t="s">
        <v>315</v>
      </c>
      <c r="C168" s="236"/>
      <c r="D168" s="261"/>
      <c r="E168" s="309" t="s">
        <v>316</v>
      </c>
      <c r="H168" s="152"/>
      <c r="J168" s="2"/>
    </row>
    <row r="169" spans="1:10" ht="15" customHeight="1" x14ac:dyDescent="0.25">
      <c r="B169" s="308" t="s">
        <v>317</v>
      </c>
      <c r="C169" s="236"/>
      <c r="D169" s="261"/>
      <c r="H169" s="152"/>
      <c r="J169" s="2"/>
    </row>
    <row r="170" spans="1:10" ht="15" customHeight="1" x14ac:dyDescent="0.25">
      <c r="B170" s="308" t="s">
        <v>318</v>
      </c>
      <c r="C170" s="236"/>
      <c r="D170" s="261"/>
      <c r="H170" s="152"/>
      <c r="J170" s="2"/>
    </row>
    <row r="171" spans="1:10" ht="15" customHeight="1" x14ac:dyDescent="0.25">
      <c r="B171" s="308" t="s">
        <v>319</v>
      </c>
      <c r="C171" s="236"/>
      <c r="D171" s="310">
        <f>SUM(C165:C171)</f>
        <v>0</v>
      </c>
      <c r="H171" s="152"/>
      <c r="J171" s="2"/>
    </row>
    <row r="172" spans="1:10" ht="15" customHeight="1" x14ac:dyDescent="0.25">
      <c r="B172" s="311" t="s">
        <v>320</v>
      </c>
      <c r="C172" s="236"/>
      <c r="D172" s="294"/>
      <c r="E172" s="312"/>
      <c r="H172" s="152"/>
      <c r="J172" s="2"/>
    </row>
    <row r="173" spans="1:10" ht="15" customHeight="1" x14ac:dyDescent="0.25">
      <c r="B173" s="308" t="s">
        <v>321</v>
      </c>
      <c r="C173" s="313"/>
      <c r="D173" s="294"/>
      <c r="H173" s="152"/>
      <c r="J173" s="2"/>
    </row>
    <row r="174" spans="1:10" ht="15" customHeight="1" x14ac:dyDescent="0.25">
      <c r="B174" s="308" t="s">
        <v>322</v>
      </c>
      <c r="C174" s="313"/>
      <c r="D174" s="294"/>
      <c r="H174" s="152"/>
      <c r="J174" s="2"/>
    </row>
    <row r="175" spans="1:10" ht="15" customHeight="1" x14ac:dyDescent="0.25">
      <c r="B175" s="308" t="s">
        <v>323</v>
      </c>
      <c r="C175" s="313"/>
      <c r="D175" s="294">
        <f>SUM(C173:C175)</f>
        <v>0</v>
      </c>
      <c r="H175" s="152"/>
      <c r="J175" s="2"/>
    </row>
    <row r="176" spans="1:10" ht="15" customHeight="1" thickBot="1" x14ac:dyDescent="0.3">
      <c r="B176" s="314" t="s">
        <v>324</v>
      </c>
      <c r="C176" s="315"/>
      <c r="D176" s="316"/>
      <c r="E176" s="272"/>
      <c r="F176" s="272"/>
      <c r="G176" s="272"/>
      <c r="H176" s="301"/>
      <c r="J176" s="2"/>
    </row>
    <row r="177" spans="2:11" ht="15" customHeight="1" x14ac:dyDescent="0.25">
      <c r="B177" s="294"/>
      <c r="D177" s="317">
        <f>D171+D175+D176</f>
        <v>0</v>
      </c>
      <c r="J177" s="2"/>
    </row>
    <row r="178" spans="2:11" ht="15" customHeight="1" x14ac:dyDescent="0.25">
      <c r="F178" s="240"/>
      <c r="G178" s="240"/>
      <c r="H178" s="240"/>
      <c r="I178" s="250"/>
      <c r="J178" s="58"/>
      <c r="K178" s="45">
        <f>H178*0.03</f>
        <v>0</v>
      </c>
    </row>
    <row r="179" spans="2:11" ht="15" customHeight="1" x14ac:dyDescent="0.25">
      <c r="H179" s="9"/>
      <c r="K179" s="45"/>
    </row>
    <row r="181" spans="2:11" ht="15" customHeight="1" x14ac:dyDescent="0.25">
      <c r="H181" s="9"/>
    </row>
  </sheetData>
  <mergeCells count="36">
    <mergeCell ref="B146:H146"/>
    <mergeCell ref="B147:H147"/>
    <mergeCell ref="B148:H148"/>
    <mergeCell ref="B149:H149"/>
    <mergeCell ref="B150:G150"/>
    <mergeCell ref="G152:H152"/>
    <mergeCell ref="I123:J123"/>
    <mergeCell ref="I133:J133"/>
    <mergeCell ref="G140:H140"/>
    <mergeCell ref="B143:H143"/>
    <mergeCell ref="B144:H144"/>
    <mergeCell ref="B145:H145"/>
    <mergeCell ref="I80:J80"/>
    <mergeCell ref="I83:J83"/>
    <mergeCell ref="I84:J84"/>
    <mergeCell ref="I85:J85"/>
    <mergeCell ref="I86:J86"/>
    <mergeCell ref="I110:J110"/>
    <mergeCell ref="A70:I70"/>
    <mergeCell ref="A71:B71"/>
    <mergeCell ref="F71:I71"/>
    <mergeCell ref="I77:J77"/>
    <mergeCell ref="I78:J78"/>
    <mergeCell ref="I79:J79"/>
    <mergeCell ref="K25:M25"/>
    <mergeCell ref="A26:F26"/>
    <mergeCell ref="K29:M29"/>
    <mergeCell ref="C66:D66"/>
    <mergeCell ref="C67:D67"/>
    <mergeCell ref="C68:D68"/>
    <mergeCell ref="A1:C1"/>
    <mergeCell ref="D1:H1"/>
    <mergeCell ref="J1:L1"/>
    <mergeCell ref="A2:C2"/>
    <mergeCell ref="F2:G2"/>
    <mergeCell ref="N17:O17"/>
  </mergeCells>
  <conditionalFormatting sqref="F55">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8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10 (Oct)</vt:lpstr>
      <vt:lpstr>10 (Dec) </vt:lpstr>
      <vt:lpstr>'10 (Dec) '!Print_Area</vt:lpstr>
      <vt:lpstr>'10 (Oct)'!Print_Area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2022-10-10T13:51:02Z</dcterms:created>
  <dcterms:modified xsi:type="dcterms:W3CDTF">2022-12-01T17:27:29Z</dcterms:modified>
</cp:coreProperties>
</file>